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765" yWindow="330" windowWidth="19440" windowHeight="12240" tabRatio="808" firstSheet="3" activeTab="3"/>
  </bookViews>
  <sheets>
    <sheet name="Input data (2)" sheetId="46" state="hidden" r:id="rId1"/>
    <sheet name="Output data - DO NOT TOUCH (2)" sheetId="47" state="hidden" r:id="rId2"/>
    <sheet name="Table Cover sheet" sheetId="71" r:id="rId3"/>
    <sheet name="Table contents" sheetId="102" r:id="rId4"/>
    <sheet name="Table Notes" sheetId="73" r:id="rId5"/>
    <sheet name="Table 1a" sheetId="74" r:id="rId6"/>
    <sheet name="Table 1b" sheetId="75" r:id="rId7"/>
    <sheet name="Table 2" sheetId="76" r:id="rId8"/>
    <sheet name="Table 3" sheetId="77" r:id="rId9"/>
    <sheet name="Table 4a" sheetId="78" r:id="rId10"/>
    <sheet name="Table 4b" sheetId="79" r:id="rId11"/>
    <sheet name="Table 5" sheetId="80" r:id="rId12"/>
    <sheet name="Table 6a" sheetId="82" r:id="rId13"/>
    <sheet name="Table 6b" sheetId="81" r:id="rId14"/>
    <sheet name="Table 7a" sheetId="92" r:id="rId15"/>
    <sheet name="Table 7b" sheetId="93" r:id="rId16"/>
    <sheet name="Table 8a" sheetId="83" r:id="rId17"/>
    <sheet name="Table 8b" sheetId="84" r:id="rId18"/>
    <sheet name="Table 9" sheetId="85" r:id="rId19"/>
    <sheet name="Table 10" sheetId="86" r:id="rId20"/>
    <sheet name="Table 11" sheetId="87" r:id="rId21"/>
    <sheet name="Table 12" sheetId="88" r:id="rId22"/>
    <sheet name="Table 13" sheetId="89" r:id="rId23"/>
    <sheet name="Table 14" sheetId="91" r:id="rId24"/>
  </sheets>
  <definedNames>
    <definedName name="_xlnm._FilterDatabase" localSheetId="19" hidden="1">'Table 10'!$AA$18:$AA$56</definedName>
    <definedName name="_xlnm._FilterDatabase" localSheetId="20" hidden="1">'Table 11'!$AA$18:$AA$67</definedName>
    <definedName name="_xlnm._FilterDatabase" localSheetId="21" hidden="1">'Table 12'!$AA$18:$AA$69</definedName>
    <definedName name="_xlnm._FilterDatabase" localSheetId="22" hidden="1">'Table 13'!$AA$18:$AA$56</definedName>
    <definedName name="_xlnm._FilterDatabase" localSheetId="23" hidden="1">'Table 14'!$AA$18:$AA$67</definedName>
    <definedName name="_xlnm._FilterDatabase" localSheetId="5" hidden="1">'Table 1a'!$AA$18:$AA$69</definedName>
    <definedName name="_xlnm._FilterDatabase" localSheetId="6" hidden="1">'Table 1b'!$AA$18:$AA$69</definedName>
    <definedName name="_xlnm._FilterDatabase" localSheetId="7" hidden="1">'Table 2'!$AA$18:$AA$69</definedName>
    <definedName name="_xlnm._FilterDatabase" localSheetId="8" hidden="1">'Table 3'!$AA$18:$AA$56</definedName>
    <definedName name="_xlnm._FilterDatabase" localSheetId="9" hidden="1">'Table 4a'!$AA$18:$AA$67</definedName>
    <definedName name="_xlnm._FilterDatabase" localSheetId="10" hidden="1">'Table 4b'!$AA$18:$AA$67</definedName>
    <definedName name="_xlnm._FilterDatabase" localSheetId="11" hidden="1">'Table 5'!$AA$18:$AA$56</definedName>
    <definedName name="_xlnm._FilterDatabase" localSheetId="12" hidden="1">'Table 6a'!$AA$18:$AA$68</definedName>
    <definedName name="_xlnm._FilterDatabase" localSheetId="13" hidden="1">'Table 6b'!$AA$18:$AA$69</definedName>
    <definedName name="_xlnm._FilterDatabase" localSheetId="14" hidden="1">'Table 7a'!$AA$18:$AA$68</definedName>
    <definedName name="_xlnm._FilterDatabase" localSheetId="15" hidden="1">'Table 7b'!$AA$18:$AA$69</definedName>
    <definedName name="_xlnm._FilterDatabase" localSheetId="16" hidden="1">'Table 8a'!$AA$18:$AA$69</definedName>
    <definedName name="_xlnm._FilterDatabase" localSheetId="17" hidden="1">'Table 8b'!$AA$18:$AA$69</definedName>
    <definedName name="_xlnm._FilterDatabase" localSheetId="18" hidden="1">'Table 9'!$AA$18:$AA$69</definedName>
    <definedName name="_xlnm._FilterDatabase" localSheetId="3" hidden="1">'Table contents'!$AA$18:$AA$50</definedName>
    <definedName name="_xlnm._FilterDatabase" localSheetId="2" hidden="1">'Table Cover sheet'!$AA$18:$AA$40</definedName>
    <definedName name="_xlnm._FilterDatabase" localSheetId="4" hidden="1">'Table Notes'!$AA$18:$AA$204</definedName>
    <definedName name="_xlnm.Print_Area" localSheetId="0">'Input data (2)'!$B$4:$BL$187</definedName>
    <definedName name="_xlnm.Print_Area" localSheetId="19">'Table 10'!$A$1:$L$67</definedName>
    <definedName name="_xlnm.Print_Area" localSheetId="20">'Table 11'!$A$1:$K$77</definedName>
    <definedName name="_xlnm.Print_Area" localSheetId="21">'Table 12'!$A$1:$O$81</definedName>
    <definedName name="_xlnm.Print_Area" localSheetId="22">'Table 13'!$A$1:$L$66</definedName>
    <definedName name="_xlnm.Print_Area" localSheetId="23">'Table 14'!$A$1:$K$76</definedName>
    <definedName name="_xlnm.Print_Area" localSheetId="5">'Table 1a'!$A$1:$O$87</definedName>
    <definedName name="_xlnm.Print_Area" localSheetId="6">'Table 1b'!$A$1:$O$86</definedName>
    <definedName name="_xlnm.Print_Area" localSheetId="7">'Table 2'!$A$1:$M$79</definedName>
    <definedName name="_xlnm.Print_Area" localSheetId="8">'Table 3'!$A$1:$M$67</definedName>
    <definedName name="_xlnm.Print_Area" localSheetId="9">'Table 4a'!$A$1:$K$79</definedName>
    <definedName name="_xlnm.Print_Area" localSheetId="10">'Table 4b'!$A$1:$K$77</definedName>
    <definedName name="_xlnm.Print_Area" localSheetId="11">'Table 5'!$A$1:$M$64</definedName>
    <definedName name="_xlnm.Print_Area" localSheetId="12">'Table 6a'!$A$1:$I$79</definedName>
    <definedName name="_xlnm.Print_Area" localSheetId="13">'Table 6b'!$A$1:$N$79</definedName>
    <definedName name="_xlnm.Print_Area" localSheetId="14">'Table 7a'!$A$1:$J$79</definedName>
    <definedName name="_xlnm.Print_Area" localSheetId="15">'Table 7b'!$A$1:$N$79</definedName>
    <definedName name="_xlnm.Print_Area" localSheetId="16">'Table 8a'!$A$1:$K$85</definedName>
    <definedName name="_xlnm.Print_Area" localSheetId="17">'Table 8b'!$A$1:$V$86</definedName>
    <definedName name="_xlnm.Print_Area" localSheetId="18">'Table 9'!$A$1:$O$80</definedName>
    <definedName name="_xlnm.Print_Area" localSheetId="4">'Table Notes'!$A$1:$M$185</definedName>
    <definedName name="_xlnm.Print_Titles" localSheetId="0">'Input data (2)'!$B:$C,'Input data (2)'!$3:$5</definedName>
  </definedNames>
  <calcPr calcId="145621"/>
</workbook>
</file>

<file path=xl/calcChain.xml><?xml version="1.0" encoding="utf-8"?>
<calcChain xmlns="http://schemas.openxmlformats.org/spreadsheetml/2006/main">
  <c r="BL1" i="46" l="1"/>
  <c r="R15" i="47" s="1"/>
  <c r="L2" i="46"/>
  <c r="C3" i="46"/>
  <c r="A6" i="46"/>
  <c r="F6" i="46"/>
  <c r="AC6" i="46"/>
  <c r="AF6" i="46"/>
  <c r="BB6" i="46"/>
  <c r="BF6" i="46"/>
  <c r="B7" i="46"/>
  <c r="F7" i="46"/>
  <c r="AC7" i="46"/>
  <c r="AF7" i="46"/>
  <c r="BB7" i="46"/>
  <c r="BF7" i="46"/>
  <c r="F8" i="46"/>
  <c r="AC8" i="46"/>
  <c r="AF8" i="46"/>
  <c r="BB8" i="46"/>
  <c r="BF8" i="46"/>
  <c r="F9" i="46"/>
  <c r="AC9" i="46"/>
  <c r="AF9" i="46"/>
  <c r="BB9" i="46"/>
  <c r="BF9" i="46"/>
  <c r="A10" i="46"/>
  <c r="F10" i="46"/>
  <c r="AC10" i="46"/>
  <c r="AF10" i="46"/>
  <c r="BB10" i="46"/>
  <c r="BF10" i="46"/>
  <c r="B11" i="46"/>
  <c r="F11" i="46"/>
  <c r="AC11" i="46"/>
  <c r="AF11" i="46"/>
  <c r="BB11" i="46"/>
  <c r="BF11" i="46"/>
  <c r="F12" i="46"/>
  <c r="AC12" i="46"/>
  <c r="AF12" i="46"/>
  <c r="BB12" i="46"/>
  <c r="BF12" i="46"/>
  <c r="F13" i="46"/>
  <c r="AC13" i="46"/>
  <c r="AF13" i="46"/>
  <c r="BB13" i="46"/>
  <c r="BF13" i="46"/>
  <c r="A14" i="46"/>
  <c r="F14" i="46"/>
  <c r="AC14" i="46"/>
  <c r="AF14" i="46"/>
  <c r="BB14" i="46"/>
  <c r="BF14" i="46"/>
  <c r="A15" i="46"/>
  <c r="B15" i="46"/>
  <c r="F15" i="46"/>
  <c r="AC15" i="46"/>
  <c r="AF15" i="46"/>
  <c r="BB15" i="46"/>
  <c r="BF15" i="46"/>
  <c r="B16" i="46"/>
  <c r="B17" i="46" s="1"/>
  <c r="A17" i="46" s="1"/>
  <c r="F16" i="46"/>
  <c r="AC16" i="46"/>
  <c r="AF16" i="46"/>
  <c r="BB16" i="46"/>
  <c r="BF16" i="46"/>
  <c r="F17" i="46"/>
  <c r="AC17" i="46"/>
  <c r="AF17" i="46"/>
  <c r="BB17" i="46"/>
  <c r="BF17" i="46"/>
  <c r="A18" i="46"/>
  <c r="F18" i="46"/>
  <c r="AC18" i="46"/>
  <c r="AF18" i="46"/>
  <c r="BB18" i="46"/>
  <c r="BF18" i="46"/>
  <c r="B19" i="46"/>
  <c r="A19" i="46" s="1"/>
  <c r="F19" i="46"/>
  <c r="AC19" i="46"/>
  <c r="AF19" i="46"/>
  <c r="BB19" i="46"/>
  <c r="BF19" i="46"/>
  <c r="F20" i="46"/>
  <c r="AC20" i="46"/>
  <c r="AF20" i="46"/>
  <c r="BB20" i="46"/>
  <c r="BF20" i="46"/>
  <c r="F21" i="46"/>
  <c r="AC21" i="46"/>
  <c r="AF21" i="46"/>
  <c r="BB21" i="46"/>
  <c r="BF21" i="46"/>
  <c r="A22" i="46"/>
  <c r="F22" i="46"/>
  <c r="AC22" i="46"/>
  <c r="AF22" i="46"/>
  <c r="BB22" i="46"/>
  <c r="BF22" i="46"/>
  <c r="B23" i="46"/>
  <c r="F23" i="46"/>
  <c r="AC23" i="46"/>
  <c r="AF23" i="46"/>
  <c r="BB23" i="46"/>
  <c r="BF23" i="46"/>
  <c r="F24" i="46"/>
  <c r="AC24" i="46"/>
  <c r="AF24" i="46"/>
  <c r="BB24" i="46"/>
  <c r="BF24" i="46"/>
  <c r="F25" i="46"/>
  <c r="AC25" i="46"/>
  <c r="AF25" i="46"/>
  <c r="BB25" i="46"/>
  <c r="BF25" i="46"/>
  <c r="A26" i="46"/>
  <c r="F26" i="46"/>
  <c r="AC26" i="46"/>
  <c r="AF26" i="46"/>
  <c r="BB26" i="46"/>
  <c r="BF26" i="46"/>
  <c r="B27" i="46"/>
  <c r="A27" i="46" s="1"/>
  <c r="F27" i="46"/>
  <c r="AC27" i="46"/>
  <c r="AF27" i="46"/>
  <c r="BB27" i="46"/>
  <c r="BF27" i="46"/>
  <c r="F28" i="46"/>
  <c r="AC28" i="46"/>
  <c r="AF28" i="46"/>
  <c r="BB28" i="46"/>
  <c r="BF28" i="46"/>
  <c r="F29" i="46"/>
  <c r="AC29" i="46"/>
  <c r="AF29" i="46"/>
  <c r="BB29" i="46"/>
  <c r="BF29" i="46"/>
  <c r="A30" i="46"/>
  <c r="F30" i="46"/>
  <c r="AC30" i="46"/>
  <c r="AF30" i="46"/>
  <c r="BB30" i="46"/>
  <c r="BF30" i="46"/>
  <c r="A31" i="46"/>
  <c r="B31" i="46"/>
  <c r="B32" i="46" s="1"/>
  <c r="A32" i="46" s="1"/>
  <c r="F31" i="46"/>
  <c r="AC31" i="46"/>
  <c r="AF31" i="46"/>
  <c r="BB31" i="46"/>
  <c r="BF31" i="46"/>
  <c r="F32" i="46"/>
  <c r="AC32" i="46"/>
  <c r="AF32" i="46"/>
  <c r="BB32" i="46"/>
  <c r="BF32" i="46"/>
  <c r="F33" i="46"/>
  <c r="AC33" i="46"/>
  <c r="AF33" i="46"/>
  <c r="BB33" i="46"/>
  <c r="BF33" i="46"/>
  <c r="A34" i="46"/>
  <c r="F34" i="46"/>
  <c r="AC34" i="46"/>
  <c r="AF34" i="46"/>
  <c r="BB34" i="46"/>
  <c r="BF34" i="46"/>
  <c r="A35" i="46"/>
  <c r="B35" i="46"/>
  <c r="B36" i="46" s="1"/>
  <c r="F35" i="46"/>
  <c r="AC35" i="46"/>
  <c r="AF35" i="46"/>
  <c r="BB35" i="46"/>
  <c r="BF35" i="46"/>
  <c r="F36" i="46"/>
  <c r="AC36" i="46"/>
  <c r="AF36" i="46"/>
  <c r="BB36" i="46"/>
  <c r="BF36" i="46"/>
  <c r="F37" i="46"/>
  <c r="AC37" i="46"/>
  <c r="AF37" i="46"/>
  <c r="BB37" i="46"/>
  <c r="BF37" i="46"/>
  <c r="A38" i="46"/>
  <c r="F38" i="46"/>
  <c r="AC38" i="46"/>
  <c r="AF38" i="46"/>
  <c r="BB38" i="46"/>
  <c r="BF38" i="46"/>
  <c r="B39" i="46"/>
  <c r="F39" i="46"/>
  <c r="AC39" i="46"/>
  <c r="AF39" i="46"/>
  <c r="BB39" i="46"/>
  <c r="BF39" i="46"/>
  <c r="F40" i="46"/>
  <c r="AC40" i="46"/>
  <c r="AF40" i="46"/>
  <c r="BB40" i="46"/>
  <c r="BF40" i="46"/>
  <c r="F41" i="46"/>
  <c r="AC41" i="46"/>
  <c r="AF41" i="46"/>
  <c r="BB41" i="46"/>
  <c r="BF41" i="46"/>
  <c r="A42" i="46"/>
  <c r="F42" i="46"/>
  <c r="AC42" i="46"/>
  <c r="AF42" i="46"/>
  <c r="BB42" i="46"/>
  <c r="BF42" i="46"/>
  <c r="A43" i="46"/>
  <c r="B43" i="46"/>
  <c r="F43" i="46"/>
  <c r="AC43" i="46"/>
  <c r="AF43" i="46"/>
  <c r="BB43" i="46"/>
  <c r="BF43" i="46"/>
  <c r="B44" i="46"/>
  <c r="F44" i="46"/>
  <c r="AC44" i="46"/>
  <c r="AF44" i="46"/>
  <c r="BB44" i="46"/>
  <c r="BF44" i="46"/>
  <c r="F45" i="46"/>
  <c r="AC45" i="46"/>
  <c r="AF45" i="46"/>
  <c r="BB45" i="46"/>
  <c r="BF45" i="46"/>
  <c r="A46" i="46"/>
  <c r="F46" i="46"/>
  <c r="AC46" i="46"/>
  <c r="AF46" i="46"/>
  <c r="BB46" i="46"/>
  <c r="BF46" i="46"/>
  <c r="B47" i="46"/>
  <c r="F47" i="46"/>
  <c r="AC47" i="46"/>
  <c r="AF47" i="46"/>
  <c r="BB47" i="46"/>
  <c r="BF47" i="46"/>
  <c r="F48" i="46"/>
  <c r="AC48" i="46"/>
  <c r="AF48" i="46"/>
  <c r="BB48" i="46"/>
  <c r="BF48" i="46"/>
  <c r="F49" i="46"/>
  <c r="AC49" i="46"/>
  <c r="AF49" i="46"/>
  <c r="BB49" i="46"/>
  <c r="BF49" i="46"/>
  <c r="A50" i="46"/>
  <c r="F50" i="46"/>
  <c r="AC50" i="46"/>
  <c r="AF50" i="46"/>
  <c r="BB50" i="46"/>
  <c r="BF50" i="46"/>
  <c r="B51" i="46"/>
  <c r="A51" i="46" s="1"/>
  <c r="F51" i="46"/>
  <c r="AC51" i="46"/>
  <c r="AF51" i="46"/>
  <c r="BB51" i="46"/>
  <c r="BF51" i="46"/>
  <c r="F52" i="46"/>
  <c r="AC52" i="46"/>
  <c r="AF52" i="46"/>
  <c r="BB52" i="46"/>
  <c r="BF52" i="46"/>
  <c r="F53" i="46"/>
  <c r="AC53" i="46"/>
  <c r="AF53" i="46"/>
  <c r="BB53" i="46"/>
  <c r="BF53" i="46"/>
  <c r="A54" i="46"/>
  <c r="F54" i="46"/>
  <c r="AC54" i="46"/>
  <c r="AF54" i="46"/>
  <c r="AP54" i="46"/>
  <c r="BB54" i="46"/>
  <c r="BF54" i="46"/>
  <c r="B55" i="46"/>
  <c r="A55" i="46" s="1"/>
  <c r="F55" i="46"/>
  <c r="AC55" i="46"/>
  <c r="AF55" i="46"/>
  <c r="AP55" i="46"/>
  <c r="BB55" i="46"/>
  <c r="BF55" i="46"/>
  <c r="F56" i="46"/>
  <c r="AC56" i="46"/>
  <c r="AF56" i="46"/>
  <c r="AP56" i="46"/>
  <c r="BB56" i="46"/>
  <c r="BF56" i="46"/>
  <c r="F57" i="46"/>
  <c r="AC57" i="46"/>
  <c r="AF57" i="46"/>
  <c r="AP57" i="46"/>
  <c r="BB57" i="46"/>
  <c r="BF57" i="46"/>
  <c r="A58" i="46"/>
  <c r="F58" i="46"/>
  <c r="AC58" i="46"/>
  <c r="AF58" i="46"/>
  <c r="AP58" i="46"/>
  <c r="BB58" i="46"/>
  <c r="BF58" i="46"/>
  <c r="B59" i="46"/>
  <c r="A59" i="46" s="1"/>
  <c r="F59" i="46"/>
  <c r="AC59" i="46"/>
  <c r="AF59" i="46"/>
  <c r="AP59" i="46"/>
  <c r="BB59" i="46"/>
  <c r="BF59" i="46"/>
  <c r="F60" i="46"/>
  <c r="AC60" i="46"/>
  <c r="AF60" i="46"/>
  <c r="AP60" i="46"/>
  <c r="BB60" i="46"/>
  <c r="BF60" i="46"/>
  <c r="F61" i="46"/>
  <c r="AC61" i="46"/>
  <c r="AF61" i="46"/>
  <c r="AP61" i="46"/>
  <c r="BB61" i="46"/>
  <c r="BF61" i="46"/>
  <c r="A62" i="46"/>
  <c r="F62" i="46"/>
  <c r="AC62" i="46"/>
  <c r="AF62" i="46"/>
  <c r="AP62" i="46"/>
  <c r="BB62" i="46"/>
  <c r="BF62" i="46"/>
  <c r="B63" i="46"/>
  <c r="A63" i="46" s="1"/>
  <c r="F63" i="46"/>
  <c r="AC63" i="46"/>
  <c r="AF63" i="46"/>
  <c r="AP63" i="46"/>
  <c r="BB63" i="46"/>
  <c r="BF63" i="46"/>
  <c r="B64" i="46"/>
  <c r="A64" i="46" s="1"/>
  <c r="F64" i="46"/>
  <c r="AC64" i="46"/>
  <c r="AF64" i="46"/>
  <c r="AP64" i="46"/>
  <c r="BB64" i="46"/>
  <c r="BF64" i="46"/>
  <c r="B65" i="46"/>
  <c r="A65" i="46" s="1"/>
  <c r="F65" i="46"/>
  <c r="AC65" i="46"/>
  <c r="AF65" i="46"/>
  <c r="AP65" i="46"/>
  <c r="BB65" i="46"/>
  <c r="BF65" i="46"/>
  <c r="A66" i="46"/>
  <c r="F66" i="46"/>
  <c r="AC66" i="46"/>
  <c r="AF66" i="46"/>
  <c r="AP66" i="46"/>
  <c r="BB66" i="46"/>
  <c r="BF66" i="46"/>
  <c r="B67" i="46"/>
  <c r="A67" i="46" s="1"/>
  <c r="F67" i="46"/>
  <c r="AC67" i="46"/>
  <c r="AF67" i="46"/>
  <c r="AP67" i="46"/>
  <c r="BB67" i="46"/>
  <c r="BF67" i="46"/>
  <c r="B68" i="46"/>
  <c r="A68" i="46" s="1"/>
  <c r="F68" i="46"/>
  <c r="AC68" i="46"/>
  <c r="AF68" i="46"/>
  <c r="AP68" i="46"/>
  <c r="BB68" i="46"/>
  <c r="BF68" i="46"/>
  <c r="B69" i="46"/>
  <c r="A69" i="46" s="1"/>
  <c r="F69" i="46"/>
  <c r="AC69" i="46"/>
  <c r="AF69" i="46"/>
  <c r="AP69" i="46"/>
  <c r="BB69" i="46"/>
  <c r="BF69" i="46"/>
  <c r="A70" i="46"/>
  <c r="F70" i="46"/>
  <c r="AC70" i="46"/>
  <c r="AF70" i="46"/>
  <c r="AP70" i="46"/>
  <c r="BB70" i="46"/>
  <c r="BF70" i="46"/>
  <c r="B71" i="46"/>
  <c r="A71" i="46" s="1"/>
  <c r="F71" i="46"/>
  <c r="AC71" i="46"/>
  <c r="AF71" i="46"/>
  <c r="AP71" i="46"/>
  <c r="BB71" i="46"/>
  <c r="BF71" i="46"/>
  <c r="B72" i="46"/>
  <c r="A72" i="46" s="1"/>
  <c r="F72" i="46"/>
  <c r="AC72" i="46"/>
  <c r="AF72" i="46"/>
  <c r="AP72" i="46"/>
  <c r="BB72" i="46"/>
  <c r="BF72" i="46"/>
  <c r="B73" i="46"/>
  <c r="A73" i="46" s="1"/>
  <c r="F73" i="46"/>
  <c r="AC73" i="46"/>
  <c r="AF73" i="46"/>
  <c r="AP73" i="46"/>
  <c r="BB73" i="46"/>
  <c r="BF73" i="46"/>
  <c r="A74" i="46"/>
  <c r="F74" i="46"/>
  <c r="AC74" i="46"/>
  <c r="AF74" i="46"/>
  <c r="AP74" i="46"/>
  <c r="BB74" i="46"/>
  <c r="BF74" i="46"/>
  <c r="B75" i="46"/>
  <c r="F75" i="46"/>
  <c r="AC75" i="46"/>
  <c r="AF75" i="46"/>
  <c r="AP75" i="46"/>
  <c r="BB75" i="46"/>
  <c r="BF75" i="46"/>
  <c r="F76" i="46"/>
  <c r="J79" i="46" s="1"/>
  <c r="AC76" i="46"/>
  <c r="AF76" i="46"/>
  <c r="AP76" i="46"/>
  <c r="BB76" i="46"/>
  <c r="BF76" i="46"/>
  <c r="F77" i="46"/>
  <c r="J77" i="46"/>
  <c r="AC77" i="46"/>
  <c r="AF77" i="46"/>
  <c r="AP77" i="46"/>
  <c r="BB77" i="46"/>
  <c r="BF77" i="46"/>
  <c r="A78" i="46"/>
  <c r="F78" i="46"/>
  <c r="I78" i="46"/>
  <c r="AC78" i="46"/>
  <c r="AF78" i="46"/>
  <c r="AP78" i="46"/>
  <c r="BB78" i="46"/>
  <c r="BF78" i="46"/>
  <c r="B79" i="46"/>
  <c r="A79" i="46" s="1"/>
  <c r="F79" i="46"/>
  <c r="I79" i="46"/>
  <c r="AC79" i="46"/>
  <c r="AF79" i="46"/>
  <c r="AP79" i="46"/>
  <c r="BB79" i="46"/>
  <c r="BF79" i="46"/>
  <c r="B80" i="46"/>
  <c r="F80" i="46"/>
  <c r="I80" i="46"/>
  <c r="AC80" i="46"/>
  <c r="AF80" i="46"/>
  <c r="AP80" i="46"/>
  <c r="BB80" i="46"/>
  <c r="BF80" i="46"/>
  <c r="F81" i="46"/>
  <c r="K84" i="46" s="1"/>
  <c r="I81" i="46"/>
  <c r="J81" i="46"/>
  <c r="AC81" i="46"/>
  <c r="AF81" i="46"/>
  <c r="AP81" i="46"/>
  <c r="BB81" i="46"/>
  <c r="BF81" i="46"/>
  <c r="A82" i="46"/>
  <c r="F82" i="46"/>
  <c r="I82" i="46"/>
  <c r="K82" i="46"/>
  <c r="AC82" i="46"/>
  <c r="AF82" i="46"/>
  <c r="AP82" i="46"/>
  <c r="BB82" i="46"/>
  <c r="BF82" i="46"/>
  <c r="B83" i="46"/>
  <c r="A83" i="46" s="1"/>
  <c r="F83" i="46"/>
  <c r="J83" i="46" s="1"/>
  <c r="I83" i="46"/>
  <c r="AC83" i="46"/>
  <c r="AF83" i="46"/>
  <c r="AP83" i="46"/>
  <c r="BB83" i="46"/>
  <c r="BF83" i="46"/>
  <c r="B84" i="46"/>
  <c r="B85" i="46" s="1"/>
  <c r="A85" i="46" s="1"/>
  <c r="F84" i="46"/>
  <c r="K87" i="46" s="1"/>
  <c r="I84" i="46"/>
  <c r="AC84" i="46"/>
  <c r="AF84" i="46"/>
  <c r="AP84" i="46"/>
  <c r="BB84" i="46"/>
  <c r="BF84" i="46"/>
  <c r="F85" i="46"/>
  <c r="J88" i="46" s="1"/>
  <c r="I85" i="46"/>
  <c r="AC85" i="46"/>
  <c r="AF85" i="46"/>
  <c r="AP85" i="46"/>
  <c r="BB85" i="46"/>
  <c r="BF85" i="46"/>
  <c r="A86" i="46"/>
  <c r="F86" i="46"/>
  <c r="I86" i="46"/>
  <c r="AC86" i="46"/>
  <c r="AF86" i="46"/>
  <c r="AP86" i="46"/>
  <c r="BB86" i="46"/>
  <c r="BF86" i="46"/>
  <c r="B87" i="46"/>
  <c r="F87" i="46"/>
  <c r="K90" i="46" s="1"/>
  <c r="I87" i="46"/>
  <c r="AC87" i="46"/>
  <c r="AF87" i="46"/>
  <c r="AP87" i="46"/>
  <c r="BB87" i="46"/>
  <c r="BF87" i="46"/>
  <c r="F88" i="46"/>
  <c r="I88" i="46"/>
  <c r="AC88" i="46"/>
  <c r="AF88" i="46"/>
  <c r="AP88" i="46"/>
  <c r="BB88" i="46"/>
  <c r="BF88" i="46"/>
  <c r="F89" i="46"/>
  <c r="I89" i="46"/>
  <c r="AC89" i="46"/>
  <c r="AF89" i="46"/>
  <c r="AP89" i="46"/>
  <c r="AS92" i="46" s="1"/>
  <c r="BB89" i="46"/>
  <c r="BF89" i="46"/>
  <c r="A90" i="46"/>
  <c r="F90" i="46"/>
  <c r="J93" i="46" s="1"/>
  <c r="I90" i="46"/>
  <c r="AC90" i="46"/>
  <c r="AF90" i="46"/>
  <c r="AP90" i="46"/>
  <c r="AT93" i="46" s="1"/>
  <c r="BB90" i="46"/>
  <c r="BF90" i="46"/>
  <c r="B91" i="46"/>
  <c r="B92" i="46" s="1"/>
  <c r="F91" i="46"/>
  <c r="I91" i="46"/>
  <c r="AC91" i="46"/>
  <c r="AF91" i="46"/>
  <c r="AP91" i="46"/>
  <c r="BB91" i="46"/>
  <c r="BF91" i="46"/>
  <c r="F92" i="46"/>
  <c r="I92" i="46"/>
  <c r="AC92" i="46"/>
  <c r="AF92" i="46"/>
  <c r="AP92" i="46"/>
  <c r="BB92" i="46"/>
  <c r="BF92" i="46"/>
  <c r="F93" i="46"/>
  <c r="I93" i="46"/>
  <c r="AC93" i="46"/>
  <c r="AF93" i="46"/>
  <c r="AP93" i="46"/>
  <c r="BB93" i="46"/>
  <c r="BF93" i="46"/>
  <c r="A94" i="46"/>
  <c r="F94" i="46"/>
  <c r="I94" i="46"/>
  <c r="AC94" i="46"/>
  <c r="AF94" i="46"/>
  <c r="AP94" i="46"/>
  <c r="BB94" i="46"/>
  <c r="BF94" i="46"/>
  <c r="B95" i="46"/>
  <c r="F95" i="46"/>
  <c r="I95" i="46"/>
  <c r="K95" i="46"/>
  <c r="AC95" i="46"/>
  <c r="AF95" i="46"/>
  <c r="AP95" i="46"/>
  <c r="AS95" i="46" s="1"/>
  <c r="BB95" i="46"/>
  <c r="BF95" i="46"/>
  <c r="F96" i="46"/>
  <c r="I96" i="46"/>
  <c r="AC96" i="46"/>
  <c r="AF96" i="46"/>
  <c r="AP96" i="46"/>
  <c r="AT99" i="46" s="1"/>
  <c r="BB96" i="46"/>
  <c r="BF96" i="46"/>
  <c r="F97" i="46"/>
  <c r="I97" i="46"/>
  <c r="AC97" i="46"/>
  <c r="AF97" i="46"/>
  <c r="AP97" i="46"/>
  <c r="AT97" i="46"/>
  <c r="BB97" i="46"/>
  <c r="BF97" i="46"/>
  <c r="A98" i="46"/>
  <c r="F98" i="46"/>
  <c r="K100" i="46" s="1"/>
  <c r="I98" i="46"/>
  <c r="AC98" i="46"/>
  <c r="AF98" i="46"/>
  <c r="AP98" i="46"/>
  <c r="AS100" i="46" s="1"/>
  <c r="BB98" i="46"/>
  <c r="BF98" i="46"/>
  <c r="B99" i="46"/>
  <c r="A99" i="46" s="1"/>
  <c r="F99" i="46"/>
  <c r="I99" i="46"/>
  <c r="AC99" i="46"/>
  <c r="AF99" i="46"/>
  <c r="AP99" i="46"/>
  <c r="BB99" i="46"/>
  <c r="BF99" i="46"/>
  <c r="B100" i="46"/>
  <c r="B101" i="46" s="1"/>
  <c r="A101" i="46" s="1"/>
  <c r="F100" i="46"/>
  <c r="I100" i="46"/>
  <c r="AC100" i="46"/>
  <c r="AF100" i="46"/>
  <c r="AP100" i="46"/>
  <c r="BB100" i="46"/>
  <c r="BF100" i="46"/>
  <c r="F101" i="46"/>
  <c r="I101" i="46"/>
  <c r="AC101" i="46"/>
  <c r="AF101" i="46"/>
  <c r="AP101" i="46"/>
  <c r="BB101" i="46"/>
  <c r="BF101" i="46"/>
  <c r="A102" i="46"/>
  <c r="F102" i="46"/>
  <c r="I102" i="46"/>
  <c r="AC102" i="46"/>
  <c r="AF102" i="46"/>
  <c r="AP102" i="46"/>
  <c r="AS105" i="46" s="1"/>
  <c r="BB102" i="46"/>
  <c r="BF102" i="46"/>
  <c r="B103" i="46"/>
  <c r="A103" i="46" s="1"/>
  <c r="F103" i="46"/>
  <c r="I103" i="46"/>
  <c r="AC103" i="46"/>
  <c r="AF103" i="46"/>
  <c r="AP103" i="46"/>
  <c r="BB103" i="46"/>
  <c r="BF103" i="46"/>
  <c r="B104" i="46"/>
  <c r="A104" i="46" s="1"/>
  <c r="F104" i="46"/>
  <c r="I104" i="46"/>
  <c r="AC104" i="46"/>
  <c r="AF104" i="46"/>
  <c r="AP104" i="46"/>
  <c r="BB104" i="46"/>
  <c r="BF104" i="46"/>
  <c r="B105" i="46"/>
  <c r="A105" i="46" s="1"/>
  <c r="F105" i="46"/>
  <c r="I105" i="46"/>
  <c r="AC105" i="46"/>
  <c r="AF105" i="46"/>
  <c r="AP105" i="46"/>
  <c r="BB105" i="46"/>
  <c r="BF105" i="46"/>
  <c r="A106" i="46"/>
  <c r="F106" i="46"/>
  <c r="I106" i="46"/>
  <c r="K106" i="46"/>
  <c r="AC106" i="46"/>
  <c r="AF106" i="46"/>
  <c r="AP106" i="46"/>
  <c r="AS106" i="46" s="1"/>
  <c r="BB106" i="46"/>
  <c r="BF106" i="46"/>
  <c r="A107" i="46"/>
  <c r="B107" i="46"/>
  <c r="F107" i="46"/>
  <c r="I107" i="46"/>
  <c r="AC107" i="46"/>
  <c r="AF107" i="46"/>
  <c r="AP107" i="46"/>
  <c r="AS110" i="46" s="1"/>
  <c r="BB107" i="46"/>
  <c r="BF107" i="46"/>
  <c r="B108" i="46"/>
  <c r="A108" i="46" s="1"/>
  <c r="F108" i="46"/>
  <c r="K111" i="46" s="1"/>
  <c r="I108" i="46"/>
  <c r="K108" i="46"/>
  <c r="AC108" i="46"/>
  <c r="AF108" i="46"/>
  <c r="AP108" i="46"/>
  <c r="AS108" i="46"/>
  <c r="BB108" i="46"/>
  <c r="BF108" i="46"/>
  <c r="B109" i="46"/>
  <c r="A109" i="46" s="1"/>
  <c r="F109" i="46"/>
  <c r="J110" i="46" s="1"/>
  <c r="I109" i="46"/>
  <c r="K109" i="46"/>
  <c r="AC109" i="46"/>
  <c r="AF109" i="46"/>
  <c r="AP109" i="46"/>
  <c r="AS109" i="46"/>
  <c r="BB109" i="46"/>
  <c r="BF109" i="46"/>
  <c r="A110" i="46"/>
  <c r="F110" i="46"/>
  <c r="I110" i="46"/>
  <c r="AC110" i="46"/>
  <c r="AF110" i="46"/>
  <c r="AP110" i="46"/>
  <c r="BB110" i="46"/>
  <c r="BF110" i="46"/>
  <c r="A111" i="46"/>
  <c r="B111" i="46"/>
  <c r="B112" i="46" s="1"/>
  <c r="F111" i="46"/>
  <c r="I111" i="46"/>
  <c r="AC111" i="46"/>
  <c r="AF111" i="46"/>
  <c r="AP111" i="46"/>
  <c r="BB111" i="46"/>
  <c r="BF111" i="46"/>
  <c r="A112" i="46"/>
  <c r="F112" i="46"/>
  <c r="I112" i="46"/>
  <c r="J112" i="46"/>
  <c r="AC112" i="46"/>
  <c r="AF112" i="46"/>
  <c r="AP112" i="46"/>
  <c r="AT112" i="46"/>
  <c r="BB112" i="46"/>
  <c r="BF112" i="46"/>
  <c r="B113" i="46"/>
  <c r="A113" i="46" s="1"/>
  <c r="F113" i="46"/>
  <c r="I113" i="46"/>
  <c r="AC113" i="46"/>
  <c r="AF113" i="46"/>
  <c r="AP113" i="46"/>
  <c r="AS114" i="46" s="1"/>
  <c r="BB113" i="46"/>
  <c r="BF113" i="46"/>
  <c r="A114" i="46"/>
  <c r="F114" i="46"/>
  <c r="I114" i="46"/>
  <c r="AC114" i="46"/>
  <c r="AF114" i="46"/>
  <c r="AP114" i="46"/>
  <c r="BB114" i="46"/>
  <c r="BF114" i="46"/>
  <c r="A115" i="46"/>
  <c r="B115" i="46"/>
  <c r="F115" i="46"/>
  <c r="I115" i="46"/>
  <c r="AC115" i="46"/>
  <c r="AF115" i="46"/>
  <c r="AP115" i="46"/>
  <c r="BB115" i="46"/>
  <c r="BF115" i="46"/>
  <c r="B116" i="46"/>
  <c r="F116" i="46"/>
  <c r="I116" i="46"/>
  <c r="K116" i="46"/>
  <c r="AC116" i="46"/>
  <c r="AF116" i="46"/>
  <c r="AP116" i="46"/>
  <c r="AS116" i="46"/>
  <c r="BB116" i="46"/>
  <c r="BF116" i="46"/>
  <c r="F117" i="46"/>
  <c r="I117" i="46"/>
  <c r="AC117" i="46"/>
  <c r="AF117" i="46"/>
  <c r="AP117" i="46"/>
  <c r="BB117" i="46"/>
  <c r="BF117" i="46"/>
  <c r="A118" i="46"/>
  <c r="F118" i="46"/>
  <c r="I118" i="46"/>
  <c r="AC118" i="46"/>
  <c r="AF118" i="46"/>
  <c r="AP118" i="46"/>
  <c r="BB118" i="46"/>
  <c r="BF118" i="46"/>
  <c r="B119" i="46"/>
  <c r="A119" i="46" s="1"/>
  <c r="F119" i="46"/>
  <c r="I119" i="46"/>
  <c r="AC119" i="46"/>
  <c r="AF119" i="46"/>
  <c r="AP119" i="46"/>
  <c r="BB119" i="46"/>
  <c r="BF119" i="46"/>
  <c r="F120" i="46"/>
  <c r="J120" i="46" s="1"/>
  <c r="I120" i="46"/>
  <c r="AC120" i="46"/>
  <c r="AF120" i="46"/>
  <c r="AP120" i="46"/>
  <c r="AT120" i="46" s="1"/>
  <c r="BB120" i="46"/>
  <c r="BF120" i="46"/>
  <c r="F121" i="46"/>
  <c r="I121" i="46"/>
  <c r="AC121" i="46"/>
  <c r="AF121" i="46"/>
  <c r="AP121" i="46"/>
  <c r="BB121" i="46"/>
  <c r="BF121" i="46"/>
  <c r="A122" i="46"/>
  <c r="F122" i="46"/>
  <c r="I122" i="46"/>
  <c r="J122" i="46"/>
  <c r="AC122" i="46"/>
  <c r="AF122" i="46"/>
  <c r="AP122" i="46"/>
  <c r="BB122" i="46"/>
  <c r="BF122" i="46"/>
  <c r="A123" i="46"/>
  <c r="B123" i="46"/>
  <c r="F123" i="46"/>
  <c r="J125" i="46" s="1"/>
  <c r="I123" i="46"/>
  <c r="AC123" i="46"/>
  <c r="AF123" i="46"/>
  <c r="AP123" i="46"/>
  <c r="AS124" i="46" s="1"/>
  <c r="BB123" i="46"/>
  <c r="BF123" i="46"/>
  <c r="B124" i="46"/>
  <c r="A124" i="46" s="1"/>
  <c r="F124" i="46"/>
  <c r="I124" i="46"/>
  <c r="AC124" i="46"/>
  <c r="AF124" i="46"/>
  <c r="AP124" i="46"/>
  <c r="BB124" i="46"/>
  <c r="BF124" i="46"/>
  <c r="A125" i="46"/>
  <c r="B125" i="46"/>
  <c r="F125" i="46"/>
  <c r="I125" i="46"/>
  <c r="AC125" i="46"/>
  <c r="AF125" i="46"/>
  <c r="AP125" i="46"/>
  <c r="AT128" i="46" s="1"/>
  <c r="BB125" i="46"/>
  <c r="BF125" i="46"/>
  <c r="A126" i="46"/>
  <c r="F126" i="46"/>
  <c r="I126" i="46"/>
  <c r="T126" i="46"/>
  <c r="V126" i="46"/>
  <c r="X126" i="46"/>
  <c r="Z126" i="46"/>
  <c r="AC126" i="46"/>
  <c r="AF126" i="46"/>
  <c r="AI126" i="46"/>
  <c r="AL126" i="46"/>
  <c r="AP126" i="46"/>
  <c r="BB126" i="46"/>
  <c r="BF126" i="46"/>
  <c r="BL126" i="46"/>
  <c r="B127" i="46"/>
  <c r="F127" i="46"/>
  <c r="I127" i="46"/>
  <c r="T127" i="46"/>
  <c r="V127" i="46"/>
  <c r="X127" i="46"/>
  <c r="Z127" i="46"/>
  <c r="AC127" i="46"/>
  <c r="AF127" i="46"/>
  <c r="AI127" i="46"/>
  <c r="AL127" i="46"/>
  <c r="AP127" i="46"/>
  <c r="BB127" i="46"/>
  <c r="BF127" i="46"/>
  <c r="BL127" i="46"/>
  <c r="F128" i="46"/>
  <c r="I128" i="46"/>
  <c r="T128" i="46"/>
  <c r="V128" i="46"/>
  <c r="X128" i="46"/>
  <c r="Z128" i="46"/>
  <c r="AC128" i="46"/>
  <c r="AF128" i="46"/>
  <c r="AI128" i="46"/>
  <c r="AL128" i="46"/>
  <c r="AP128" i="46"/>
  <c r="AT129" i="46" s="1"/>
  <c r="BB128" i="46"/>
  <c r="BF128" i="46"/>
  <c r="BL128" i="46"/>
  <c r="F129" i="46"/>
  <c r="I129" i="46"/>
  <c r="T129" i="46"/>
  <c r="V129" i="46"/>
  <c r="X129" i="46"/>
  <c r="Z129" i="46"/>
  <c r="AC129" i="46"/>
  <c r="AF129" i="46"/>
  <c r="AI129" i="46"/>
  <c r="AL129" i="46"/>
  <c r="AP129" i="46"/>
  <c r="BB129" i="46"/>
  <c r="BF129" i="46"/>
  <c r="BL129" i="46"/>
  <c r="A130" i="46"/>
  <c r="F130" i="46"/>
  <c r="I130" i="46"/>
  <c r="T130" i="46"/>
  <c r="V130" i="46"/>
  <c r="X130" i="46"/>
  <c r="Z130" i="46"/>
  <c r="AC130" i="46"/>
  <c r="AF130" i="46"/>
  <c r="AI130" i="46"/>
  <c r="AL130" i="46"/>
  <c r="AP130" i="46"/>
  <c r="AS133" i="46" s="1"/>
  <c r="BB130" i="46"/>
  <c r="BF130" i="46"/>
  <c r="BL130" i="46"/>
  <c r="B131" i="46"/>
  <c r="A131" i="46" s="1"/>
  <c r="F131" i="46"/>
  <c r="I131" i="46"/>
  <c r="T131" i="46"/>
  <c r="V131" i="46"/>
  <c r="X131" i="46"/>
  <c r="Z131" i="46"/>
  <c r="AC131" i="46"/>
  <c r="AF131" i="46"/>
  <c r="AI131" i="46"/>
  <c r="AL131" i="46"/>
  <c r="AP131" i="46"/>
  <c r="AS134" i="46" s="1"/>
  <c r="BB131" i="46"/>
  <c r="BF131" i="46"/>
  <c r="BL131" i="46"/>
  <c r="F132" i="46"/>
  <c r="I132" i="46"/>
  <c r="T132" i="46"/>
  <c r="V132" i="46"/>
  <c r="X132" i="46"/>
  <c r="Z132" i="46"/>
  <c r="AC132" i="46"/>
  <c r="AF132" i="46"/>
  <c r="AI132" i="46"/>
  <c r="AL132" i="46"/>
  <c r="AP132" i="46"/>
  <c r="BB132" i="46"/>
  <c r="BF132" i="46"/>
  <c r="BL132" i="46"/>
  <c r="F133" i="46"/>
  <c r="I133" i="46"/>
  <c r="T133" i="46"/>
  <c r="V133" i="46"/>
  <c r="X133" i="46"/>
  <c r="Z133" i="46"/>
  <c r="AC133" i="46"/>
  <c r="AF133" i="46"/>
  <c r="AI133" i="46"/>
  <c r="AL133" i="46"/>
  <c r="AP133" i="46"/>
  <c r="BB133" i="46"/>
  <c r="BF133" i="46"/>
  <c r="BL133" i="46"/>
  <c r="B134" i="46"/>
  <c r="A134" i="46" s="1"/>
  <c r="F134" i="46"/>
  <c r="I134" i="46"/>
  <c r="T134" i="46"/>
  <c r="V134" i="46"/>
  <c r="X134" i="46"/>
  <c r="Z134" i="46"/>
  <c r="AC134" i="46"/>
  <c r="AF134" i="46"/>
  <c r="AI134" i="46"/>
  <c r="AL134" i="46"/>
  <c r="AP134" i="46"/>
  <c r="BB134" i="46"/>
  <c r="BF134" i="46"/>
  <c r="BL134" i="46"/>
  <c r="F135" i="46"/>
  <c r="I135" i="46"/>
  <c r="T135" i="46"/>
  <c r="V135" i="46"/>
  <c r="X135" i="46"/>
  <c r="Z135" i="46"/>
  <c r="AC135" i="46"/>
  <c r="AF135" i="46"/>
  <c r="AI135" i="46"/>
  <c r="AL135" i="46"/>
  <c r="AP135" i="46"/>
  <c r="BB135" i="46"/>
  <c r="BF135" i="46"/>
  <c r="BL135" i="46"/>
  <c r="F136" i="46"/>
  <c r="K136" i="46" s="1"/>
  <c r="I136" i="46"/>
  <c r="T136" i="46"/>
  <c r="V136" i="46"/>
  <c r="X136" i="46"/>
  <c r="Z136" i="46"/>
  <c r="AC136" i="46"/>
  <c r="AF136" i="46"/>
  <c r="AI136" i="46"/>
  <c r="AL136" i="46"/>
  <c r="AP136" i="46"/>
  <c r="BB136" i="46"/>
  <c r="BF136" i="46"/>
  <c r="BL136" i="46"/>
  <c r="F137" i="46"/>
  <c r="I137" i="46"/>
  <c r="T137" i="46"/>
  <c r="V137" i="46"/>
  <c r="X137" i="46"/>
  <c r="Z137" i="46"/>
  <c r="AC137" i="46"/>
  <c r="AF137" i="46"/>
  <c r="AI137" i="46"/>
  <c r="AL137" i="46"/>
  <c r="AP137" i="46"/>
  <c r="BB137" i="46"/>
  <c r="BF137" i="46"/>
  <c r="BL137" i="46"/>
  <c r="F138" i="46"/>
  <c r="I138" i="46"/>
  <c r="T138" i="46"/>
  <c r="V138" i="46"/>
  <c r="X138" i="46"/>
  <c r="Z138" i="46"/>
  <c r="AC138" i="46"/>
  <c r="AF138" i="46"/>
  <c r="AI138" i="46"/>
  <c r="AL138" i="46"/>
  <c r="AP138" i="46"/>
  <c r="BB138" i="46"/>
  <c r="BF138" i="46"/>
  <c r="BL138" i="46"/>
  <c r="F139" i="46"/>
  <c r="I139" i="46"/>
  <c r="T139" i="46"/>
  <c r="V139" i="46"/>
  <c r="X139" i="46"/>
  <c r="Z139" i="46"/>
  <c r="AC139" i="46"/>
  <c r="AF139" i="46"/>
  <c r="AI139" i="46"/>
  <c r="AL139" i="46"/>
  <c r="AP139" i="46"/>
  <c r="BB139" i="46"/>
  <c r="BF139" i="46"/>
  <c r="BL139" i="46"/>
  <c r="F140" i="46"/>
  <c r="I140" i="46"/>
  <c r="T140" i="46"/>
  <c r="V140" i="46"/>
  <c r="X140" i="46"/>
  <c r="Z140" i="46"/>
  <c r="AC140" i="46"/>
  <c r="AF140" i="46"/>
  <c r="AI140" i="46"/>
  <c r="AL140" i="46"/>
  <c r="AP140" i="46"/>
  <c r="AS143" i="46" s="1"/>
  <c r="BB140" i="46"/>
  <c r="BF140" i="46"/>
  <c r="BL140" i="46"/>
  <c r="F141" i="46"/>
  <c r="I141" i="46"/>
  <c r="K141" i="46"/>
  <c r="T141" i="46"/>
  <c r="V141" i="46"/>
  <c r="X141" i="46"/>
  <c r="Z141" i="46"/>
  <c r="AC141" i="46"/>
  <c r="AF141" i="46"/>
  <c r="AI141" i="46"/>
  <c r="AL141" i="46"/>
  <c r="AP141" i="46"/>
  <c r="BB141" i="46"/>
  <c r="BF141" i="46"/>
  <c r="BL141" i="46"/>
  <c r="F142" i="46"/>
  <c r="I142" i="46"/>
  <c r="T142" i="46"/>
  <c r="V142" i="46"/>
  <c r="X142" i="46"/>
  <c r="Z142" i="46"/>
  <c r="AC142" i="46"/>
  <c r="AF142" i="46"/>
  <c r="AI142" i="46"/>
  <c r="AL142" i="46"/>
  <c r="AP142" i="46"/>
  <c r="AS142" i="46"/>
  <c r="BB142" i="46"/>
  <c r="BF142" i="46"/>
  <c r="BL142" i="46"/>
  <c r="F143" i="46"/>
  <c r="I143" i="46"/>
  <c r="T143" i="46"/>
  <c r="V143" i="46"/>
  <c r="X143" i="46"/>
  <c r="Z143" i="46"/>
  <c r="AC143" i="46"/>
  <c r="AF143" i="46"/>
  <c r="AI143" i="46"/>
  <c r="AL143" i="46"/>
  <c r="AP143" i="46"/>
  <c r="AS146" i="46" s="1"/>
  <c r="BB143" i="46"/>
  <c r="BF143" i="46"/>
  <c r="BL143" i="46"/>
  <c r="F144" i="46"/>
  <c r="I144" i="46"/>
  <c r="T144" i="46"/>
  <c r="V144" i="46"/>
  <c r="X144" i="46"/>
  <c r="Z144" i="46"/>
  <c r="AC144" i="46"/>
  <c r="AF144" i="46"/>
  <c r="AI144" i="46"/>
  <c r="AL144" i="46"/>
  <c r="AP144" i="46"/>
  <c r="AS147" i="46" s="1"/>
  <c r="BB144" i="46"/>
  <c r="BF144" i="46"/>
  <c r="BL144" i="46"/>
  <c r="F145" i="46"/>
  <c r="I145" i="46"/>
  <c r="T145" i="46"/>
  <c r="V145" i="46"/>
  <c r="X145" i="46"/>
  <c r="Z145" i="46"/>
  <c r="AC145" i="46"/>
  <c r="AF145" i="46"/>
  <c r="AI145" i="46"/>
  <c r="AL145" i="46"/>
  <c r="AP145" i="46"/>
  <c r="AS145" i="46"/>
  <c r="BB145" i="46"/>
  <c r="BF145" i="46"/>
  <c r="BL145" i="46"/>
  <c r="F146" i="46"/>
  <c r="I146" i="46"/>
  <c r="T146" i="46"/>
  <c r="V146" i="46"/>
  <c r="X146" i="46"/>
  <c r="Z146" i="46"/>
  <c r="AC146" i="46"/>
  <c r="AF146" i="46"/>
  <c r="AI146" i="46"/>
  <c r="AL146" i="46"/>
  <c r="AP146" i="46"/>
  <c r="AS149" i="46" s="1"/>
  <c r="BB146" i="46"/>
  <c r="BF146" i="46"/>
  <c r="BL146" i="46"/>
  <c r="F147" i="46"/>
  <c r="I147" i="46"/>
  <c r="T147" i="46"/>
  <c r="V147" i="46"/>
  <c r="X147" i="46"/>
  <c r="Z147" i="46"/>
  <c r="AC147" i="46"/>
  <c r="AF147" i="46"/>
  <c r="AI147" i="46"/>
  <c r="AL147" i="46"/>
  <c r="AP147" i="46"/>
  <c r="AS150" i="46" s="1"/>
  <c r="BB147" i="46"/>
  <c r="BF147" i="46"/>
  <c r="BL147" i="46"/>
  <c r="F148" i="46"/>
  <c r="I148" i="46"/>
  <c r="T148" i="46"/>
  <c r="V148" i="46"/>
  <c r="X148" i="46"/>
  <c r="Z148" i="46"/>
  <c r="AC148" i="46"/>
  <c r="AF148" i="46"/>
  <c r="AI148" i="46"/>
  <c r="AL148" i="46"/>
  <c r="AP148" i="46"/>
  <c r="BB148" i="46"/>
  <c r="BF148" i="46"/>
  <c r="BL148" i="46"/>
  <c r="F149" i="46"/>
  <c r="K152" i="46" s="1"/>
  <c r="I149" i="46"/>
  <c r="T149" i="46"/>
  <c r="V149" i="46"/>
  <c r="X149" i="46"/>
  <c r="Z149" i="46"/>
  <c r="AC149" i="46"/>
  <c r="AF149" i="46"/>
  <c r="AI149" i="46"/>
  <c r="AL149" i="46"/>
  <c r="AP149" i="46"/>
  <c r="BB149" i="46"/>
  <c r="BF149" i="46"/>
  <c r="BL149" i="46"/>
  <c r="F150" i="46"/>
  <c r="I150" i="46"/>
  <c r="T150" i="46"/>
  <c r="V150" i="46"/>
  <c r="X150" i="46"/>
  <c r="Z150" i="46"/>
  <c r="AC150" i="46"/>
  <c r="AF150" i="46"/>
  <c r="AJ20" i="47" s="1"/>
  <c r="AI150" i="46"/>
  <c r="AL150" i="46"/>
  <c r="AP150" i="46"/>
  <c r="AT153" i="46" s="1"/>
  <c r="BB150" i="46"/>
  <c r="BF150" i="46"/>
  <c r="BL150" i="46"/>
  <c r="F151" i="46"/>
  <c r="I151" i="46"/>
  <c r="T151" i="46"/>
  <c r="V151" i="46"/>
  <c r="X151" i="46"/>
  <c r="Z151" i="46"/>
  <c r="AA151" i="46"/>
  <c r="AC151" i="46" s="1"/>
  <c r="AF151" i="46"/>
  <c r="AI151" i="46"/>
  <c r="AL151" i="46"/>
  <c r="AP151" i="46"/>
  <c r="AT154" i="46" s="1"/>
  <c r="BB151" i="46"/>
  <c r="BF151" i="46"/>
  <c r="BL151" i="46"/>
  <c r="F152" i="46"/>
  <c r="J153" i="46" s="1"/>
  <c r="BW23" i="47" s="1"/>
  <c r="I152" i="46"/>
  <c r="T152" i="46"/>
  <c r="V152" i="46"/>
  <c r="X152" i="46"/>
  <c r="Z152" i="46"/>
  <c r="AC152" i="46"/>
  <c r="AF152" i="46"/>
  <c r="AI152" i="46"/>
  <c r="AL152" i="46"/>
  <c r="AP152" i="46"/>
  <c r="BB152" i="46"/>
  <c r="BF152" i="46"/>
  <c r="BS22" i="47" s="1"/>
  <c r="BL152" i="46"/>
  <c r="F153" i="46"/>
  <c r="I153" i="46"/>
  <c r="T153" i="46"/>
  <c r="V153" i="46"/>
  <c r="X153" i="46"/>
  <c r="Z153" i="46"/>
  <c r="AC153" i="46"/>
  <c r="AF153" i="46"/>
  <c r="AI153" i="46"/>
  <c r="AL153" i="46"/>
  <c r="AP153" i="46"/>
  <c r="BB153" i="46"/>
  <c r="BF153" i="46"/>
  <c r="BL153" i="46"/>
  <c r="F154" i="46"/>
  <c r="I154" i="46"/>
  <c r="J154" i="46"/>
  <c r="T154" i="46"/>
  <c r="V154" i="46"/>
  <c r="X154" i="46"/>
  <c r="Z154" i="46"/>
  <c r="AC154" i="46"/>
  <c r="AF154" i="46"/>
  <c r="AI154" i="46"/>
  <c r="AL154" i="46"/>
  <c r="AP154" i="46"/>
  <c r="BB154" i="46"/>
  <c r="BF154" i="46"/>
  <c r="BL154" i="46"/>
  <c r="F155" i="46"/>
  <c r="I155" i="46"/>
  <c r="T155" i="46"/>
  <c r="V155" i="46"/>
  <c r="X155" i="46"/>
  <c r="Z155" i="46"/>
  <c r="AC155" i="46"/>
  <c r="AF155" i="46"/>
  <c r="AI155" i="46"/>
  <c r="AL155" i="46"/>
  <c r="AP155" i="46"/>
  <c r="BB155" i="46"/>
  <c r="BF155" i="46"/>
  <c r="BL155" i="46"/>
  <c r="F156" i="46"/>
  <c r="I156" i="46"/>
  <c r="T156" i="46"/>
  <c r="V156" i="46"/>
  <c r="X156" i="46"/>
  <c r="Z156" i="46"/>
  <c r="AC156" i="46"/>
  <c r="AF156" i="46"/>
  <c r="AI156" i="46"/>
  <c r="AL156" i="46"/>
  <c r="AP156" i="46"/>
  <c r="BB156" i="46"/>
  <c r="BB27" i="47" s="1"/>
  <c r="BF156" i="46"/>
  <c r="BL156" i="46"/>
  <c r="F157" i="46"/>
  <c r="I157" i="46"/>
  <c r="J157" i="46"/>
  <c r="T157" i="46"/>
  <c r="V157" i="46"/>
  <c r="X157" i="46"/>
  <c r="Z157" i="46"/>
  <c r="AC157" i="46"/>
  <c r="AF157" i="46"/>
  <c r="AI157" i="46"/>
  <c r="AL157" i="46"/>
  <c r="AP157" i="46"/>
  <c r="BB157" i="46"/>
  <c r="BF157" i="46"/>
  <c r="BL157" i="46"/>
  <c r="F158" i="46"/>
  <c r="I158" i="46"/>
  <c r="T158" i="46"/>
  <c r="V158" i="46"/>
  <c r="X158" i="46"/>
  <c r="Z158" i="46"/>
  <c r="AC158" i="46"/>
  <c r="AF158" i="46"/>
  <c r="AI158" i="46"/>
  <c r="AL158" i="46"/>
  <c r="AP158" i="46"/>
  <c r="BB158" i="46"/>
  <c r="BF158" i="46"/>
  <c r="BL158" i="46"/>
  <c r="F159" i="46"/>
  <c r="J162" i="46" s="1"/>
  <c r="I159" i="46"/>
  <c r="T159" i="46"/>
  <c r="V159" i="46"/>
  <c r="X159" i="46"/>
  <c r="Z159" i="46"/>
  <c r="AC159" i="46"/>
  <c r="AF159" i="46"/>
  <c r="AI159" i="46"/>
  <c r="AL159" i="46"/>
  <c r="AP159" i="46"/>
  <c r="BB159" i="46"/>
  <c r="BF159" i="46"/>
  <c r="BL159" i="46"/>
  <c r="F160" i="46"/>
  <c r="I160" i="46"/>
  <c r="T160" i="46"/>
  <c r="V160" i="46"/>
  <c r="X160" i="46"/>
  <c r="Z160" i="46"/>
  <c r="AC160" i="46"/>
  <c r="AF160" i="46"/>
  <c r="AI160" i="46"/>
  <c r="AL160" i="46"/>
  <c r="AP160" i="46"/>
  <c r="BB160" i="46"/>
  <c r="BF160" i="46"/>
  <c r="BL160" i="46"/>
  <c r="F161" i="46"/>
  <c r="I161" i="46"/>
  <c r="T161" i="46"/>
  <c r="V161" i="46"/>
  <c r="X161" i="46"/>
  <c r="Z161" i="46"/>
  <c r="AC161" i="46"/>
  <c r="AF161" i="46"/>
  <c r="AI161" i="46"/>
  <c r="AL161" i="46"/>
  <c r="AP161" i="46"/>
  <c r="BB161" i="46"/>
  <c r="BF161" i="46"/>
  <c r="BL161" i="46"/>
  <c r="E162" i="46"/>
  <c r="F162" i="46" s="1"/>
  <c r="I162" i="46"/>
  <c r="L162" i="46"/>
  <c r="N162" i="46"/>
  <c r="O162" i="46"/>
  <c r="P162" i="46"/>
  <c r="T162" i="46"/>
  <c r="V162" i="46"/>
  <c r="X162" i="46"/>
  <c r="Z162" i="46"/>
  <c r="AC162" i="46"/>
  <c r="AF162" i="46"/>
  <c r="AI162" i="46"/>
  <c r="AL162" i="46"/>
  <c r="AP162" i="46"/>
  <c r="AT165" i="46" s="1"/>
  <c r="BB162" i="46"/>
  <c r="BF162" i="46"/>
  <c r="BL162" i="46"/>
  <c r="E163" i="46"/>
  <c r="F163" i="46" s="1"/>
  <c r="J165" i="46" s="1"/>
  <c r="I163" i="46"/>
  <c r="L163" i="46"/>
  <c r="N163" i="46"/>
  <c r="O163" i="46"/>
  <c r="P163" i="46"/>
  <c r="T163" i="46"/>
  <c r="V163" i="46"/>
  <c r="X163" i="46"/>
  <c r="Z163" i="46"/>
  <c r="AC163" i="46"/>
  <c r="AF163" i="46"/>
  <c r="AI163" i="46"/>
  <c r="AL163" i="46"/>
  <c r="AP163" i="46"/>
  <c r="AT166" i="46" s="1"/>
  <c r="BB163" i="46"/>
  <c r="BF163" i="46"/>
  <c r="BL163" i="46"/>
  <c r="BO36" i="47" s="1"/>
  <c r="E164" i="46"/>
  <c r="F164" i="46" s="1"/>
  <c r="I164" i="46"/>
  <c r="K164" i="46"/>
  <c r="L164" i="46"/>
  <c r="N164" i="46"/>
  <c r="O164" i="46"/>
  <c r="P164" i="46"/>
  <c r="T164" i="46"/>
  <c r="V164" i="46"/>
  <c r="X164" i="46"/>
  <c r="Z164" i="46"/>
  <c r="AC164" i="46"/>
  <c r="AF164" i="46"/>
  <c r="AI164" i="46"/>
  <c r="AL164" i="46"/>
  <c r="AP164" i="46"/>
  <c r="BB164" i="46"/>
  <c r="BF164" i="46"/>
  <c r="BL164" i="46"/>
  <c r="E165" i="46"/>
  <c r="F165" i="46" s="1"/>
  <c r="I165" i="46"/>
  <c r="L165" i="46"/>
  <c r="N165" i="46"/>
  <c r="O165" i="46"/>
  <c r="P165" i="46"/>
  <c r="T165" i="46"/>
  <c r="V165" i="46"/>
  <c r="X165" i="46"/>
  <c r="Z165" i="46"/>
  <c r="AC165" i="46"/>
  <c r="AF165" i="46"/>
  <c r="AI165" i="46"/>
  <c r="AL165" i="46"/>
  <c r="AP165" i="46"/>
  <c r="BB165" i="46"/>
  <c r="BF165" i="46"/>
  <c r="BL165" i="46"/>
  <c r="D166" i="46"/>
  <c r="F166" i="46" s="1"/>
  <c r="E166" i="46"/>
  <c r="G166" i="46"/>
  <c r="H166" i="46"/>
  <c r="L166" i="46"/>
  <c r="M166" i="46"/>
  <c r="N166" i="46"/>
  <c r="O166" i="46"/>
  <c r="P166" i="46"/>
  <c r="Q166" i="46"/>
  <c r="S166" i="46"/>
  <c r="Z40" i="47" s="1"/>
  <c r="U166" i="46"/>
  <c r="V166" i="46" s="1"/>
  <c r="X166" i="46"/>
  <c r="Y166" i="46"/>
  <c r="Z166" i="46" s="1"/>
  <c r="AA166" i="46"/>
  <c r="AC166" i="46" s="1"/>
  <c r="AD166" i="46"/>
  <c r="AF166" i="46" s="1"/>
  <c r="AE166" i="46"/>
  <c r="AI166" i="46"/>
  <c r="AL166" i="46"/>
  <c r="AN166" i="46"/>
  <c r="AP166" i="46" s="1"/>
  <c r="AO166" i="46"/>
  <c r="AQ166" i="46"/>
  <c r="AR166" i="46"/>
  <c r="AU166" i="46"/>
  <c r="AW166" i="46"/>
  <c r="BA166" i="46"/>
  <c r="BB166" i="46" s="1"/>
  <c r="BF166" i="46"/>
  <c r="BL166" i="46"/>
  <c r="D167" i="46"/>
  <c r="F167" i="46" s="1"/>
  <c r="E167" i="46"/>
  <c r="G167" i="46"/>
  <c r="H167" i="46"/>
  <c r="I167" i="46" s="1"/>
  <c r="L167" i="46"/>
  <c r="N167" i="46"/>
  <c r="O167" i="46"/>
  <c r="P167" i="46"/>
  <c r="Q167" i="46"/>
  <c r="T167" i="46" s="1"/>
  <c r="Y167" i="46"/>
  <c r="Z167" i="46" s="1"/>
  <c r="AA167" i="46"/>
  <c r="AC167" i="46" s="1"/>
  <c r="AD167" i="46"/>
  <c r="AE167" i="46"/>
  <c r="AF167" i="46" s="1"/>
  <c r="AI167" i="46"/>
  <c r="AL167" i="46"/>
  <c r="AN167" i="46"/>
  <c r="AP167" i="46" s="1"/>
  <c r="AO167" i="46"/>
  <c r="AQ167" i="46"/>
  <c r="AR167" i="46"/>
  <c r="AU167" i="46"/>
  <c r="AV167" i="46"/>
  <c r="AW167" i="46"/>
  <c r="AX167" i="46"/>
  <c r="BB167" i="46"/>
  <c r="BF167" i="46"/>
  <c r="BG167" i="46"/>
  <c r="BH167" i="46"/>
  <c r="BL167" i="46"/>
  <c r="D168" i="46"/>
  <c r="E168" i="46"/>
  <c r="G168" i="46"/>
  <c r="H168" i="46"/>
  <c r="L168" i="46"/>
  <c r="M168" i="46"/>
  <c r="N168" i="46"/>
  <c r="O168" i="46"/>
  <c r="P168" i="46"/>
  <c r="Q168" i="46"/>
  <c r="U168" i="46" s="1"/>
  <c r="V168" i="46" s="1"/>
  <c r="AA168" i="46"/>
  <c r="T42" i="47" s="1"/>
  <c r="AD168" i="46"/>
  <c r="AF168" i="46" s="1"/>
  <c r="AE168" i="46"/>
  <c r="AI168" i="46"/>
  <c r="AL168" i="46"/>
  <c r="AN168" i="46"/>
  <c r="AP168" i="46" s="1"/>
  <c r="AO168" i="46"/>
  <c r="AQ168" i="46"/>
  <c r="AR168" i="46"/>
  <c r="AU168" i="46"/>
  <c r="AV168" i="46"/>
  <c r="AW168" i="46"/>
  <c r="AX168" i="46"/>
  <c r="BB168" i="46"/>
  <c r="BF168" i="46"/>
  <c r="BG168" i="46"/>
  <c r="BH168" i="46"/>
  <c r="BL168" i="46"/>
  <c r="D169" i="46"/>
  <c r="E169" i="46"/>
  <c r="F169" i="46" s="1"/>
  <c r="G169" i="46"/>
  <c r="H169" i="46"/>
  <c r="L169" i="46"/>
  <c r="M169" i="46"/>
  <c r="N169" i="46"/>
  <c r="O169" i="46"/>
  <c r="P169" i="46"/>
  <c r="Q169" i="46"/>
  <c r="Y169" i="46" s="1"/>
  <c r="Z169" i="46" s="1"/>
  <c r="S169" i="46"/>
  <c r="T169" i="46" s="1"/>
  <c r="U169" i="46"/>
  <c r="V169" i="46" s="1"/>
  <c r="X169" i="46"/>
  <c r="AA169" i="46"/>
  <c r="AC169" i="46" s="1"/>
  <c r="AD169" i="46"/>
  <c r="AE169" i="46"/>
  <c r="AI169" i="46"/>
  <c r="AL169" i="46"/>
  <c r="AN169" i="46"/>
  <c r="AO169" i="46"/>
  <c r="AP169" i="46"/>
  <c r="AQ169" i="46"/>
  <c r="AR169" i="46"/>
  <c r="AU169" i="46"/>
  <c r="AV169" i="46"/>
  <c r="AW169" i="46"/>
  <c r="AX169" i="46"/>
  <c r="BB169" i="46"/>
  <c r="BF169" i="46"/>
  <c r="BG169" i="46"/>
  <c r="BH169" i="46"/>
  <c r="BL169" i="46"/>
  <c r="D170" i="46"/>
  <c r="E170" i="46"/>
  <c r="G170" i="46"/>
  <c r="I170" i="46" s="1"/>
  <c r="H170" i="46"/>
  <c r="L170" i="46"/>
  <c r="M170" i="46"/>
  <c r="N170" i="46"/>
  <c r="O170" i="46"/>
  <c r="P170" i="46"/>
  <c r="Q170" i="46"/>
  <c r="X170" i="46" s="1"/>
  <c r="S170" i="46"/>
  <c r="T170" i="46" s="1"/>
  <c r="U170" i="46"/>
  <c r="V170" i="46" s="1"/>
  <c r="Y170" i="46"/>
  <c r="Z170" i="46" s="1"/>
  <c r="AA170" i="46"/>
  <c r="AD170" i="46"/>
  <c r="AF170" i="46" s="1"/>
  <c r="AE170" i="46"/>
  <c r="AI170" i="46"/>
  <c r="AL170" i="46"/>
  <c r="AN170" i="46"/>
  <c r="AO170" i="46"/>
  <c r="AQ170" i="46"/>
  <c r="AR170" i="46"/>
  <c r="AU170" i="46"/>
  <c r="AW170" i="46"/>
  <c r="AX170" i="46"/>
  <c r="BB170" i="46"/>
  <c r="BD170" i="46"/>
  <c r="BE170" i="46"/>
  <c r="BG170" i="46"/>
  <c r="BH170" i="46"/>
  <c r="BL170" i="46"/>
  <c r="D171" i="46"/>
  <c r="E171" i="46"/>
  <c r="F171" i="46"/>
  <c r="G171" i="46"/>
  <c r="H171" i="46"/>
  <c r="I171" i="46" s="1"/>
  <c r="L171" i="46"/>
  <c r="N171" i="46"/>
  <c r="O171" i="46"/>
  <c r="P171" i="46"/>
  <c r="Q171" i="46"/>
  <c r="AA171" i="46"/>
  <c r="AF171" i="46"/>
  <c r="AI171" i="46"/>
  <c r="AN171" i="46"/>
  <c r="AO171" i="46"/>
  <c r="AQ171" i="46"/>
  <c r="AR171" i="46"/>
  <c r="AU171" i="46"/>
  <c r="AV171" i="46"/>
  <c r="AW171" i="46"/>
  <c r="AX171" i="46"/>
  <c r="BB171" i="46"/>
  <c r="BE171" i="46"/>
  <c r="BF171" i="46"/>
  <c r="BG171" i="46"/>
  <c r="BH171" i="46"/>
  <c r="BL171" i="46"/>
  <c r="D172" i="46"/>
  <c r="F172" i="46" s="1"/>
  <c r="E172" i="46"/>
  <c r="G172" i="46"/>
  <c r="H172" i="46"/>
  <c r="I172" i="46" s="1"/>
  <c r="L172" i="46"/>
  <c r="N172" i="46"/>
  <c r="O172" i="46"/>
  <c r="P172" i="46"/>
  <c r="Q172" i="46"/>
  <c r="X172" i="46" s="1"/>
  <c r="S172" i="46"/>
  <c r="T172" i="46" s="1"/>
  <c r="U172" i="46"/>
  <c r="V172" i="46" s="1"/>
  <c r="Y172" i="46"/>
  <c r="Z172" i="46" s="1"/>
  <c r="AA172" i="46"/>
  <c r="AF172" i="46"/>
  <c r="AI172" i="46"/>
  <c r="AN172" i="46"/>
  <c r="AP172" i="46" s="1"/>
  <c r="AO172" i="46"/>
  <c r="AQ172" i="46"/>
  <c r="AR172" i="46"/>
  <c r="AU172" i="46"/>
  <c r="AW172" i="46"/>
  <c r="BB172" i="46"/>
  <c r="BE172" i="46"/>
  <c r="BF172" i="46" s="1"/>
  <c r="BS47" i="47" s="1"/>
  <c r="BG172" i="46"/>
  <c r="BH172" i="46"/>
  <c r="BL172" i="46"/>
  <c r="A173" i="46"/>
  <c r="E173" i="46"/>
  <c r="F173" i="46" s="1"/>
  <c r="I173" i="46"/>
  <c r="N173" i="46"/>
  <c r="P173" i="46"/>
  <c r="U173" i="46"/>
  <c r="X173" i="46"/>
  <c r="Y173" i="46"/>
  <c r="Z173" i="46" s="1"/>
  <c r="AC173" i="46"/>
  <c r="AF173" i="46"/>
  <c r="AI173" i="46"/>
  <c r="AP173" i="46"/>
  <c r="BB173" i="46"/>
  <c r="BF173" i="46"/>
  <c r="BL173" i="46"/>
  <c r="D174" i="46"/>
  <c r="F174" i="46" s="1"/>
  <c r="E174" i="46"/>
  <c r="G174" i="46"/>
  <c r="H174" i="46"/>
  <c r="L174" i="46"/>
  <c r="M174" i="46"/>
  <c r="N174" i="46"/>
  <c r="O174" i="46"/>
  <c r="P174" i="46"/>
  <c r="Q174" i="46"/>
  <c r="R174" i="46"/>
  <c r="AC174" i="46" s="1"/>
  <c r="T174" i="46"/>
  <c r="U174" i="46"/>
  <c r="V174" i="46" s="1"/>
  <c r="X174" i="46"/>
  <c r="Y174" i="46"/>
  <c r="Z174" i="46" s="1"/>
  <c r="AA174" i="46"/>
  <c r="AF174" i="46"/>
  <c r="AI174" i="46"/>
  <c r="AN174" i="46"/>
  <c r="AP174" i="46" s="1"/>
  <c r="AT176" i="46" s="1"/>
  <c r="AO174" i="46"/>
  <c r="AQ174" i="46"/>
  <c r="AR174" i="46"/>
  <c r="AU174" i="46"/>
  <c r="AW174" i="46"/>
  <c r="BB174" i="46"/>
  <c r="BE174" i="46"/>
  <c r="BF174" i="46" s="1"/>
  <c r="BG174" i="46"/>
  <c r="BH174" i="46"/>
  <c r="BL174" i="46"/>
  <c r="D175" i="46"/>
  <c r="F175" i="46" s="1"/>
  <c r="E175" i="46"/>
  <c r="G175" i="46"/>
  <c r="H175" i="46"/>
  <c r="L175" i="46"/>
  <c r="N175" i="46"/>
  <c r="O175" i="46"/>
  <c r="P175" i="46"/>
  <c r="Q175" i="46"/>
  <c r="U175" i="46" s="1"/>
  <c r="V175" i="46" s="1"/>
  <c r="AC51" i="47" s="1"/>
  <c r="R175" i="46"/>
  <c r="X175" i="46"/>
  <c r="Y175" i="46"/>
  <c r="Z175" i="46" s="1"/>
  <c r="AA175" i="46"/>
  <c r="AF175" i="46"/>
  <c r="AI175" i="46"/>
  <c r="AN175" i="46"/>
  <c r="AP175" i="46" s="1"/>
  <c r="AO175" i="46"/>
  <c r="AQ175" i="46"/>
  <c r="AR175" i="46"/>
  <c r="AU175" i="46"/>
  <c r="AW175" i="46"/>
  <c r="BB175" i="46"/>
  <c r="BE175" i="46"/>
  <c r="BF175" i="46" s="1"/>
  <c r="BG175" i="46"/>
  <c r="BH175" i="46"/>
  <c r="BL175" i="46"/>
  <c r="D176" i="46"/>
  <c r="F176" i="46" s="1"/>
  <c r="E176" i="46"/>
  <c r="G176" i="46"/>
  <c r="H176" i="46"/>
  <c r="I176" i="46" s="1"/>
  <c r="L176" i="46"/>
  <c r="N176" i="46"/>
  <c r="O176" i="46"/>
  <c r="P176" i="46"/>
  <c r="Q176" i="46"/>
  <c r="R176" i="46"/>
  <c r="U176" i="46"/>
  <c r="V176" i="46" s="1"/>
  <c r="X176" i="46"/>
  <c r="AA176" i="46"/>
  <c r="AC176" i="46" s="1"/>
  <c r="Q52" i="47" s="1"/>
  <c r="AD176" i="46"/>
  <c r="AE176" i="46"/>
  <c r="AF176" i="46" s="1"/>
  <c r="AI176" i="46"/>
  <c r="AN176" i="46"/>
  <c r="AO176" i="46"/>
  <c r="AP176" i="46" s="1"/>
  <c r="AQ176" i="46"/>
  <c r="AR176" i="46"/>
  <c r="AU176" i="46"/>
  <c r="AW176" i="46"/>
  <c r="BB176" i="46"/>
  <c r="BE176" i="46"/>
  <c r="BF176" i="46" s="1"/>
  <c r="BS52" i="47" s="1"/>
  <c r="BG176" i="46"/>
  <c r="BH176" i="46"/>
  <c r="BL176" i="46"/>
  <c r="B177" i="46"/>
  <c r="B181" i="46" s="1"/>
  <c r="A181" i="46" s="1"/>
  <c r="D177" i="46"/>
  <c r="F177" i="46" s="1"/>
  <c r="E177" i="46"/>
  <c r="G177" i="46"/>
  <c r="H177" i="46"/>
  <c r="I177" i="46" s="1"/>
  <c r="L177" i="46"/>
  <c r="N177" i="46"/>
  <c r="O177" i="46"/>
  <c r="P177" i="46"/>
  <c r="Q177" i="46"/>
  <c r="Y177" i="46" s="1"/>
  <c r="R177" i="46"/>
  <c r="S177" i="46"/>
  <c r="T177" i="46" s="1"/>
  <c r="X177" i="46"/>
  <c r="Z177" i="46"/>
  <c r="AA177" i="46"/>
  <c r="AF177" i="46"/>
  <c r="AI177" i="46"/>
  <c r="AN177" i="46"/>
  <c r="AO177" i="46"/>
  <c r="AQ177" i="46"/>
  <c r="AR177" i="46"/>
  <c r="AU177" i="46"/>
  <c r="AV177" i="46"/>
  <c r="AW177" i="46"/>
  <c r="AX177" i="46"/>
  <c r="BB177" i="46"/>
  <c r="BE177" i="46"/>
  <c r="BF177" i="46" s="1"/>
  <c r="BG177" i="46"/>
  <c r="BH177" i="46"/>
  <c r="BL177" i="46"/>
  <c r="D178" i="46"/>
  <c r="F178" i="46" s="1"/>
  <c r="E178" i="46"/>
  <c r="G178" i="46"/>
  <c r="H178" i="46"/>
  <c r="L178" i="46"/>
  <c r="N178" i="46"/>
  <c r="O178" i="46"/>
  <c r="P178" i="46"/>
  <c r="Q178" i="46"/>
  <c r="Y178" i="46" s="1"/>
  <c r="Z178" i="46" s="1"/>
  <c r="R178" i="46"/>
  <c r="S178" i="46"/>
  <c r="AA178" i="46"/>
  <c r="AF178" i="46"/>
  <c r="AI178" i="46"/>
  <c r="AN178" i="46"/>
  <c r="AO178" i="46"/>
  <c r="AQ178" i="46"/>
  <c r="AR178" i="46"/>
  <c r="AU178" i="46"/>
  <c r="BJ55" i="47" s="1"/>
  <c r="AW178" i="46"/>
  <c r="AX178" i="46"/>
  <c r="BB178" i="46"/>
  <c r="BE178" i="46"/>
  <c r="BF178" i="46" s="1"/>
  <c r="BS55" i="47" s="1"/>
  <c r="BG178" i="46"/>
  <c r="BH178" i="46"/>
  <c r="BL178" i="46"/>
  <c r="BO55" i="47" s="1"/>
  <c r="D179" i="46"/>
  <c r="E179" i="46"/>
  <c r="G179" i="46"/>
  <c r="H179" i="46"/>
  <c r="I179" i="46" s="1"/>
  <c r="L179" i="46"/>
  <c r="N179" i="46"/>
  <c r="O179" i="46"/>
  <c r="P179" i="46"/>
  <c r="S179" i="46"/>
  <c r="U179" i="46"/>
  <c r="AA179" i="46"/>
  <c r="AI179" i="46"/>
  <c r="AN179" i="46"/>
  <c r="AP179" i="46" s="1"/>
  <c r="AO179" i="46"/>
  <c r="AQ179" i="46"/>
  <c r="AR179" i="46"/>
  <c r="AU179" i="46"/>
  <c r="AW179" i="46"/>
  <c r="AX179" i="46"/>
  <c r="BB179" i="46"/>
  <c r="BE179" i="46"/>
  <c r="BF179" i="46" s="1"/>
  <c r="BG179" i="46"/>
  <c r="BH179" i="46"/>
  <c r="BL179" i="46"/>
  <c r="D180" i="46"/>
  <c r="E180" i="46"/>
  <c r="G180" i="46"/>
  <c r="H180" i="46"/>
  <c r="L180" i="46"/>
  <c r="N180" i="46"/>
  <c r="O180" i="46"/>
  <c r="P180" i="46"/>
  <c r="R180" i="46"/>
  <c r="S180" i="46"/>
  <c r="Q180" i="46" s="1"/>
  <c r="Y180" i="46" s="1"/>
  <c r="Z180" i="46" s="1"/>
  <c r="U180" i="46"/>
  <c r="V180" i="46" s="1"/>
  <c r="X180" i="46"/>
  <c r="AI180" i="46"/>
  <c r="AN180" i="46"/>
  <c r="AO180" i="46"/>
  <c r="AP180" i="46"/>
  <c r="AQ180" i="46"/>
  <c r="AR180" i="46"/>
  <c r="AW180" i="46"/>
  <c r="BB180" i="46"/>
  <c r="BE180" i="46"/>
  <c r="BF180" i="46" s="1"/>
  <c r="BG180" i="46"/>
  <c r="BH180" i="46"/>
  <c r="BL180" i="46"/>
  <c r="D181" i="46"/>
  <c r="E181" i="46"/>
  <c r="F181" i="46"/>
  <c r="G181" i="46"/>
  <c r="I181" i="46" s="1"/>
  <c r="H181" i="46"/>
  <c r="L181" i="46"/>
  <c r="N181" i="46"/>
  <c r="O181" i="46"/>
  <c r="P181" i="46"/>
  <c r="S181" i="46"/>
  <c r="U181" i="46"/>
  <c r="AA181" i="46"/>
  <c r="AI181" i="46"/>
  <c r="AN181" i="46"/>
  <c r="AP181" i="46" s="1"/>
  <c r="AO181" i="46"/>
  <c r="AQ181" i="46"/>
  <c r="AR181" i="46"/>
  <c r="AU181" i="46"/>
  <c r="AW181" i="46"/>
  <c r="AX181" i="46"/>
  <c r="BB181" i="46"/>
  <c r="BE181" i="46"/>
  <c r="BF181" i="46" s="1"/>
  <c r="BG181" i="46"/>
  <c r="BH181" i="46"/>
  <c r="BL181" i="46"/>
  <c r="D182" i="46"/>
  <c r="E182" i="46"/>
  <c r="F182" i="46" s="1"/>
  <c r="J184" i="46" s="1"/>
  <c r="BW62" i="47" s="1"/>
  <c r="G182" i="46"/>
  <c r="H182" i="46"/>
  <c r="I182" i="46"/>
  <c r="L182" i="46"/>
  <c r="N182" i="46"/>
  <c r="O182" i="46"/>
  <c r="P182" i="46"/>
  <c r="Q182" i="46"/>
  <c r="T182" i="46" s="1"/>
  <c r="S182" i="46"/>
  <c r="U182" i="46"/>
  <c r="V182" i="46"/>
  <c r="AA182" i="46"/>
  <c r="AC182" i="46" s="1"/>
  <c r="Q60" i="47" s="1"/>
  <c r="AF182" i="46"/>
  <c r="AI182" i="46"/>
  <c r="AN182" i="46"/>
  <c r="AP182" i="46" s="1"/>
  <c r="AQ182" i="46"/>
  <c r="AR182" i="46"/>
  <c r="AU182" i="46"/>
  <c r="AW182" i="46"/>
  <c r="AX182" i="46"/>
  <c r="BB182" i="46"/>
  <c r="BF182" i="46"/>
  <c r="BG182" i="46"/>
  <c r="BH182" i="46"/>
  <c r="BL182" i="46"/>
  <c r="BO60" i="47" s="1"/>
  <c r="D183" i="46"/>
  <c r="F183" i="46" s="1"/>
  <c r="E183" i="46"/>
  <c r="G183" i="46"/>
  <c r="H183" i="46"/>
  <c r="L183" i="46"/>
  <c r="N183" i="46"/>
  <c r="O183" i="46"/>
  <c r="P183" i="46"/>
  <c r="R183" i="46"/>
  <c r="S183" i="46"/>
  <c r="Q183" i="46" s="1"/>
  <c r="U183" i="46"/>
  <c r="AA183" i="46"/>
  <c r="AF183" i="46"/>
  <c r="AI183" i="46"/>
  <c r="AN183" i="46"/>
  <c r="AP183" i="46" s="1"/>
  <c r="AO183" i="46"/>
  <c r="AQ183" i="46"/>
  <c r="AR183" i="46"/>
  <c r="AS183" i="46"/>
  <c r="AU183" i="46"/>
  <c r="AW183" i="46"/>
  <c r="AX183" i="46"/>
  <c r="BB183" i="46"/>
  <c r="BE183" i="46"/>
  <c r="BF183" i="46" s="1"/>
  <c r="BG183" i="46"/>
  <c r="BH183" i="46"/>
  <c r="BL183" i="46"/>
  <c r="D184" i="46"/>
  <c r="E184" i="46"/>
  <c r="F184" i="46"/>
  <c r="G184" i="46"/>
  <c r="I184" i="46" s="1"/>
  <c r="H184" i="46"/>
  <c r="L184" i="46"/>
  <c r="N184" i="46"/>
  <c r="O184" i="46"/>
  <c r="P184" i="46"/>
  <c r="R184" i="46"/>
  <c r="S62" i="47" s="1"/>
  <c r="S184" i="46"/>
  <c r="U184" i="46"/>
  <c r="AA184" i="46"/>
  <c r="AF184" i="46"/>
  <c r="AI184" i="46"/>
  <c r="AN184" i="46"/>
  <c r="AO184" i="46"/>
  <c r="AQ184" i="46"/>
  <c r="AR184" i="46"/>
  <c r="AU184" i="46"/>
  <c r="AW184" i="46"/>
  <c r="AX184" i="46"/>
  <c r="BB184" i="46"/>
  <c r="BE184" i="46"/>
  <c r="BF184" i="46"/>
  <c r="BG184" i="46"/>
  <c r="BH184" i="46"/>
  <c r="BL184" i="46"/>
  <c r="B185" i="46"/>
  <c r="B189" i="46" s="1"/>
  <c r="B193" i="46" s="1"/>
  <c r="D185" i="46"/>
  <c r="F185" i="46" s="1"/>
  <c r="E185" i="46"/>
  <c r="G185" i="46"/>
  <c r="H185" i="46"/>
  <c r="L185" i="46"/>
  <c r="AW63" i="47" s="1"/>
  <c r="N185" i="46"/>
  <c r="O185" i="46"/>
  <c r="P185" i="46"/>
  <c r="R185" i="46"/>
  <c r="S185" i="46"/>
  <c r="U185" i="46"/>
  <c r="AA185" i="46"/>
  <c r="AF185" i="46"/>
  <c r="AI185" i="46"/>
  <c r="AN185" i="46"/>
  <c r="AP185" i="46" s="1"/>
  <c r="AO185" i="46"/>
  <c r="AQ185" i="46"/>
  <c r="AR185" i="46"/>
  <c r="AU185" i="46"/>
  <c r="AW185" i="46"/>
  <c r="AX185" i="46"/>
  <c r="BB185" i="46"/>
  <c r="BE185" i="46"/>
  <c r="BF185" i="46" s="1"/>
  <c r="BG185" i="46"/>
  <c r="BH185" i="46"/>
  <c r="BL185" i="46"/>
  <c r="D186" i="46"/>
  <c r="F186" i="46" s="1"/>
  <c r="E186" i="46"/>
  <c r="G186" i="46"/>
  <c r="H186" i="46"/>
  <c r="I186" i="46"/>
  <c r="L186" i="46"/>
  <c r="N186" i="46"/>
  <c r="O186" i="46"/>
  <c r="P186" i="46"/>
  <c r="R186" i="46"/>
  <c r="S186" i="46"/>
  <c r="U186" i="46"/>
  <c r="Q186" i="46" s="1"/>
  <c r="EA44" i="47" s="1"/>
  <c r="AA186" i="46"/>
  <c r="AF186" i="46"/>
  <c r="AI186" i="46"/>
  <c r="AN186" i="46"/>
  <c r="AO186" i="46"/>
  <c r="AQ186" i="46"/>
  <c r="AR186" i="46"/>
  <c r="AU186" i="46"/>
  <c r="AV186" i="46"/>
  <c r="AW186" i="46"/>
  <c r="AX186" i="46"/>
  <c r="BB186" i="46"/>
  <c r="BE186" i="46"/>
  <c r="BF186" i="46" s="1"/>
  <c r="BG186" i="46"/>
  <c r="BH186" i="46"/>
  <c r="BL186" i="46"/>
  <c r="D187" i="46"/>
  <c r="E187" i="46"/>
  <c r="G187" i="46"/>
  <c r="H187" i="46"/>
  <c r="I187" i="46" s="1"/>
  <c r="L187" i="46"/>
  <c r="N187" i="46"/>
  <c r="O187" i="46"/>
  <c r="P187" i="46"/>
  <c r="R187" i="46"/>
  <c r="S187" i="46"/>
  <c r="U187" i="46"/>
  <c r="Q187" i="46" s="1"/>
  <c r="AA187" i="46"/>
  <c r="AF187" i="46"/>
  <c r="AI187" i="46"/>
  <c r="AL187" i="46"/>
  <c r="AN187" i="46"/>
  <c r="AP187" i="46" s="1"/>
  <c r="AO187" i="46"/>
  <c r="AQ187" i="46"/>
  <c r="AR187" i="46"/>
  <c r="AU187" i="46"/>
  <c r="AW187" i="46"/>
  <c r="AX187" i="46"/>
  <c r="BB187" i="46"/>
  <c r="BE187" i="46"/>
  <c r="BF187" i="46" s="1"/>
  <c r="BG187" i="46"/>
  <c r="BH187" i="46"/>
  <c r="BL187" i="46"/>
  <c r="F188" i="46"/>
  <c r="I188" i="46"/>
  <c r="T188" i="46"/>
  <c r="V188" i="46"/>
  <c r="X188" i="46"/>
  <c r="Z188" i="46"/>
  <c r="AC188" i="46"/>
  <c r="AF188" i="46"/>
  <c r="AI188" i="46"/>
  <c r="AL188" i="46"/>
  <c r="AP188" i="46"/>
  <c r="BB188" i="46"/>
  <c r="BF188" i="46"/>
  <c r="BL188" i="46"/>
  <c r="A189" i="46"/>
  <c r="F189" i="46"/>
  <c r="I189" i="46"/>
  <c r="T189" i="46"/>
  <c r="V189" i="46"/>
  <c r="X189" i="46"/>
  <c r="Z189" i="46"/>
  <c r="AC189" i="46"/>
  <c r="AF189" i="46"/>
  <c r="AI189" i="46"/>
  <c r="AL189" i="46"/>
  <c r="AP189" i="46"/>
  <c r="BB189" i="46"/>
  <c r="BF189" i="46"/>
  <c r="BL189" i="46"/>
  <c r="F190" i="46"/>
  <c r="I190" i="46"/>
  <c r="T190" i="46"/>
  <c r="V190" i="46"/>
  <c r="X190" i="46"/>
  <c r="Z190" i="46"/>
  <c r="AC190" i="46"/>
  <c r="AF190" i="46"/>
  <c r="AI190" i="46"/>
  <c r="AL190" i="46"/>
  <c r="AP190" i="46"/>
  <c r="BB190" i="46"/>
  <c r="BF190" i="46"/>
  <c r="BL190" i="46"/>
  <c r="F191" i="46"/>
  <c r="I191" i="46"/>
  <c r="T191" i="46"/>
  <c r="V191" i="46"/>
  <c r="X191" i="46"/>
  <c r="Z191" i="46"/>
  <c r="AC191" i="46"/>
  <c r="AF191" i="46"/>
  <c r="AI191" i="46"/>
  <c r="AL191" i="46"/>
  <c r="AP191" i="46"/>
  <c r="BB191" i="46"/>
  <c r="BF191" i="46"/>
  <c r="BL191" i="46"/>
  <c r="F192" i="46"/>
  <c r="J194" i="46" s="1"/>
  <c r="I192" i="46"/>
  <c r="T192" i="46"/>
  <c r="V192" i="46"/>
  <c r="X192" i="46"/>
  <c r="Z192" i="46"/>
  <c r="AC192" i="46"/>
  <c r="AF192" i="46"/>
  <c r="AI192" i="46"/>
  <c r="AL192" i="46"/>
  <c r="AP192" i="46"/>
  <c r="BB192" i="46"/>
  <c r="BF192" i="46"/>
  <c r="BL192" i="46"/>
  <c r="F193" i="46"/>
  <c r="I193" i="46"/>
  <c r="T193" i="46"/>
  <c r="V193" i="46"/>
  <c r="X193" i="46"/>
  <c r="Z193" i="46"/>
  <c r="AC193" i="46"/>
  <c r="AF193" i="46"/>
  <c r="AI193" i="46"/>
  <c r="AL193" i="46"/>
  <c r="AP193" i="46"/>
  <c r="BB193" i="46"/>
  <c r="BF193" i="46"/>
  <c r="BL193" i="46"/>
  <c r="F194" i="46"/>
  <c r="I194" i="46"/>
  <c r="T194" i="46"/>
  <c r="V194" i="46"/>
  <c r="X194" i="46"/>
  <c r="Z194" i="46"/>
  <c r="AC194" i="46"/>
  <c r="AF194" i="46"/>
  <c r="AI194" i="46"/>
  <c r="AL194" i="46"/>
  <c r="AP194" i="46"/>
  <c r="BB194" i="46"/>
  <c r="BF194" i="46"/>
  <c r="BL194" i="46"/>
  <c r="F195" i="46"/>
  <c r="I195" i="46"/>
  <c r="J195" i="46"/>
  <c r="T195" i="46"/>
  <c r="V195" i="46"/>
  <c r="X195" i="46"/>
  <c r="Z195" i="46"/>
  <c r="AC195" i="46"/>
  <c r="AF195" i="46"/>
  <c r="AI195" i="46"/>
  <c r="AL195" i="46"/>
  <c r="AP195" i="46"/>
  <c r="AT196" i="46" s="1"/>
  <c r="BB195" i="46"/>
  <c r="BF195" i="46"/>
  <c r="BL195" i="46"/>
  <c r="F196" i="46"/>
  <c r="J199" i="46" s="1"/>
  <c r="I196" i="46"/>
  <c r="T196" i="46"/>
  <c r="V196" i="46"/>
  <c r="X196" i="46"/>
  <c r="Z196" i="46"/>
  <c r="AC196" i="46"/>
  <c r="AF196" i="46"/>
  <c r="AI196" i="46"/>
  <c r="AL196" i="46"/>
  <c r="AP196" i="46"/>
  <c r="BB196" i="46"/>
  <c r="BF196" i="46"/>
  <c r="BL196" i="46"/>
  <c r="F197" i="46"/>
  <c r="I197" i="46"/>
  <c r="T197" i="46"/>
  <c r="V197" i="46"/>
  <c r="X197" i="46"/>
  <c r="Z197" i="46"/>
  <c r="AC197" i="46"/>
  <c r="AF197" i="46"/>
  <c r="AI197" i="46"/>
  <c r="AL197" i="46"/>
  <c r="AP197" i="46"/>
  <c r="AT199" i="46" s="1"/>
  <c r="BB197" i="46"/>
  <c r="BF197" i="46"/>
  <c r="BL197" i="46"/>
  <c r="F198" i="46"/>
  <c r="I198" i="46"/>
  <c r="T198" i="46"/>
  <c r="V198" i="46"/>
  <c r="X198" i="46"/>
  <c r="Z198" i="46"/>
  <c r="AC198" i="46"/>
  <c r="AF198" i="46"/>
  <c r="AI198" i="46"/>
  <c r="AL198" i="46"/>
  <c r="AP198" i="46"/>
  <c r="BB198" i="46"/>
  <c r="BF198" i="46"/>
  <c r="BL198" i="46"/>
  <c r="F199" i="46"/>
  <c r="I199" i="46"/>
  <c r="T199" i="46"/>
  <c r="V199" i="46"/>
  <c r="X199" i="46"/>
  <c r="Z199" i="46"/>
  <c r="AC199" i="46"/>
  <c r="AF199" i="46"/>
  <c r="AI199" i="46"/>
  <c r="AL199" i="46"/>
  <c r="AP199" i="46"/>
  <c r="BB199" i="46"/>
  <c r="BF199" i="46"/>
  <c r="BL199" i="46"/>
  <c r="F200" i="46"/>
  <c r="I200" i="46"/>
  <c r="T200" i="46"/>
  <c r="V200" i="46"/>
  <c r="X200" i="46"/>
  <c r="Z200" i="46"/>
  <c r="AC200" i="46"/>
  <c r="AF200" i="46"/>
  <c r="AI200" i="46"/>
  <c r="AL200" i="46"/>
  <c r="AP200" i="46"/>
  <c r="AS203" i="46" s="1"/>
  <c r="BB200" i="46"/>
  <c r="BF200" i="46"/>
  <c r="BL200" i="46"/>
  <c r="F201" i="46"/>
  <c r="I201" i="46"/>
  <c r="J201" i="46"/>
  <c r="T201" i="46"/>
  <c r="V201" i="46"/>
  <c r="X201" i="46"/>
  <c r="Z201" i="46"/>
  <c r="AC201" i="46"/>
  <c r="AF201" i="46"/>
  <c r="AI201" i="46"/>
  <c r="AL201" i="46"/>
  <c r="AP201" i="46"/>
  <c r="BB201" i="46"/>
  <c r="BF201" i="46"/>
  <c r="BL201" i="46"/>
  <c r="F202" i="46"/>
  <c r="I202" i="46"/>
  <c r="T202" i="46"/>
  <c r="V202" i="46"/>
  <c r="X202" i="46"/>
  <c r="Z202" i="46"/>
  <c r="AC202" i="46"/>
  <c r="AF202" i="46"/>
  <c r="AI202" i="46"/>
  <c r="AL202" i="46"/>
  <c r="AP202" i="46"/>
  <c r="AT202" i="46"/>
  <c r="BB202" i="46"/>
  <c r="BF202" i="46"/>
  <c r="BL202" i="46"/>
  <c r="F203" i="46"/>
  <c r="I203" i="46"/>
  <c r="T203" i="46"/>
  <c r="V203" i="46"/>
  <c r="X203" i="46"/>
  <c r="Z203" i="46"/>
  <c r="AC203" i="46"/>
  <c r="AF203" i="46"/>
  <c r="AI203" i="46"/>
  <c r="AL203" i="46"/>
  <c r="AP203" i="46"/>
  <c r="BB203" i="46"/>
  <c r="BF203" i="46"/>
  <c r="BL203" i="46"/>
  <c r="F204" i="46"/>
  <c r="I204" i="46"/>
  <c r="T204" i="46"/>
  <c r="V204" i="46"/>
  <c r="X204" i="46"/>
  <c r="Z204" i="46"/>
  <c r="AC204" i="46"/>
  <c r="AF204" i="46"/>
  <c r="AI204" i="46"/>
  <c r="AL204" i="46"/>
  <c r="AP204" i="46"/>
  <c r="AT204" i="46" s="1"/>
  <c r="BB204" i="46"/>
  <c r="BF204" i="46"/>
  <c r="BL204" i="46"/>
  <c r="F205" i="46"/>
  <c r="I205" i="46"/>
  <c r="J205" i="46"/>
  <c r="T205" i="46"/>
  <c r="V205" i="46"/>
  <c r="X205" i="46"/>
  <c r="Z205" i="46"/>
  <c r="AC205" i="46"/>
  <c r="AF205" i="46"/>
  <c r="AI205" i="46"/>
  <c r="AL205" i="46"/>
  <c r="AP205" i="46"/>
  <c r="BB205" i="46"/>
  <c r="BF205" i="46"/>
  <c r="BL205" i="46"/>
  <c r="F206" i="46"/>
  <c r="I206" i="46"/>
  <c r="T206" i="46"/>
  <c r="V206" i="46"/>
  <c r="X206" i="46"/>
  <c r="Z206" i="46"/>
  <c r="AC206" i="46"/>
  <c r="AF206" i="46"/>
  <c r="AI206" i="46"/>
  <c r="AL206" i="46"/>
  <c r="AP206" i="46"/>
  <c r="AS209" i="46" s="1"/>
  <c r="BB206" i="46"/>
  <c r="BF206" i="46"/>
  <c r="BL206" i="46"/>
  <c r="F207" i="46"/>
  <c r="I207" i="46"/>
  <c r="T207" i="46"/>
  <c r="V207" i="46"/>
  <c r="X207" i="46"/>
  <c r="Z207" i="46"/>
  <c r="AC207" i="46"/>
  <c r="AF207" i="46"/>
  <c r="AI207" i="46"/>
  <c r="AL207" i="46"/>
  <c r="AP207" i="46"/>
  <c r="BB207" i="46"/>
  <c r="BF207" i="46"/>
  <c r="BL207" i="46"/>
  <c r="F208" i="46"/>
  <c r="J210" i="46" s="1"/>
  <c r="I208" i="46"/>
  <c r="T208" i="46"/>
  <c r="V208" i="46"/>
  <c r="X208" i="46"/>
  <c r="Z208" i="46"/>
  <c r="AC208" i="46"/>
  <c r="AF208" i="46"/>
  <c r="AI208" i="46"/>
  <c r="AL208" i="46"/>
  <c r="AP208" i="46"/>
  <c r="AS211" i="46" s="1"/>
  <c r="BB208" i="46"/>
  <c r="BF208" i="46"/>
  <c r="BL208" i="46"/>
  <c r="F209" i="46"/>
  <c r="I209" i="46"/>
  <c r="J209" i="46"/>
  <c r="T209" i="46"/>
  <c r="V209" i="46"/>
  <c r="X209" i="46"/>
  <c r="Z209" i="46"/>
  <c r="AC209" i="46"/>
  <c r="AF209" i="46"/>
  <c r="AI209" i="46"/>
  <c r="AL209" i="46"/>
  <c r="AP209" i="46"/>
  <c r="BB209" i="46"/>
  <c r="BF209" i="46"/>
  <c r="BL209" i="46"/>
  <c r="F210" i="46"/>
  <c r="I210" i="46"/>
  <c r="T210" i="46"/>
  <c r="V210" i="46"/>
  <c r="X210" i="46"/>
  <c r="Z210" i="46"/>
  <c r="AC210" i="46"/>
  <c r="AF210" i="46"/>
  <c r="AI210" i="46"/>
  <c r="AL210" i="46"/>
  <c r="AP210" i="46"/>
  <c r="AT210" i="46"/>
  <c r="BB210" i="46"/>
  <c r="BF210" i="46"/>
  <c r="BL210" i="46"/>
  <c r="F211" i="46"/>
  <c r="J213" i="46" s="1"/>
  <c r="I211" i="46"/>
  <c r="T211" i="46"/>
  <c r="V211" i="46"/>
  <c r="X211" i="46"/>
  <c r="Z211" i="46"/>
  <c r="AC211" i="46"/>
  <c r="AF211" i="46"/>
  <c r="AI211" i="46"/>
  <c r="AL211" i="46"/>
  <c r="AP211" i="46"/>
  <c r="BB211" i="46"/>
  <c r="BF211" i="46"/>
  <c r="BL211" i="46"/>
  <c r="F212" i="46"/>
  <c r="I212" i="46"/>
  <c r="T212" i="46"/>
  <c r="V212" i="46"/>
  <c r="X212" i="46"/>
  <c r="Z212" i="46"/>
  <c r="AC212" i="46"/>
  <c r="AF212" i="46"/>
  <c r="AI212" i="46"/>
  <c r="AL212" i="46"/>
  <c r="AP212" i="46"/>
  <c r="AT212" i="46"/>
  <c r="BB212" i="46"/>
  <c r="BF212" i="46"/>
  <c r="BL212" i="46"/>
  <c r="F213" i="46"/>
  <c r="I213" i="46"/>
  <c r="T213" i="46"/>
  <c r="V213" i="46"/>
  <c r="X213" i="46"/>
  <c r="Z213" i="46"/>
  <c r="AC213" i="46"/>
  <c r="AF213" i="46"/>
  <c r="AI213" i="46"/>
  <c r="AL213" i="46"/>
  <c r="AP213" i="46"/>
  <c r="AT215" i="46" s="1"/>
  <c r="BB213" i="46"/>
  <c r="BF213" i="46"/>
  <c r="BL213" i="46"/>
  <c r="F214" i="46"/>
  <c r="J216" i="46" s="1"/>
  <c r="I214" i="46"/>
  <c r="T214" i="46"/>
  <c r="V214" i="46"/>
  <c r="X214" i="46"/>
  <c r="Z214" i="46"/>
  <c r="AC214" i="46"/>
  <c r="AF214" i="46"/>
  <c r="AI214" i="46"/>
  <c r="AL214" i="46"/>
  <c r="AP214" i="46"/>
  <c r="BB214" i="46"/>
  <c r="BF214" i="46"/>
  <c r="BL214" i="46"/>
  <c r="F215" i="46"/>
  <c r="I215" i="46"/>
  <c r="J215" i="46"/>
  <c r="T215" i="46"/>
  <c r="V215" i="46"/>
  <c r="X215" i="46"/>
  <c r="Z215" i="46"/>
  <c r="AC215" i="46"/>
  <c r="AF215" i="46"/>
  <c r="AI215" i="46"/>
  <c r="AL215" i="46"/>
  <c r="AP215" i="46"/>
  <c r="BB215" i="46"/>
  <c r="BF215" i="46"/>
  <c r="BL215" i="46"/>
  <c r="F216" i="46"/>
  <c r="I216" i="46"/>
  <c r="T216" i="46"/>
  <c r="V216" i="46"/>
  <c r="X216" i="46"/>
  <c r="Z216" i="46"/>
  <c r="AC216" i="46"/>
  <c r="AF216" i="46"/>
  <c r="AI216" i="46"/>
  <c r="AL216" i="46"/>
  <c r="AP216" i="46"/>
  <c r="AT216" i="46"/>
  <c r="BB216" i="46"/>
  <c r="BF216" i="46"/>
  <c r="BL216" i="46"/>
  <c r="F217" i="46"/>
  <c r="I217" i="46"/>
  <c r="J217" i="46"/>
  <c r="T217" i="46"/>
  <c r="V217" i="46"/>
  <c r="X217" i="46"/>
  <c r="Z217" i="46"/>
  <c r="AC217" i="46"/>
  <c r="AF217" i="46"/>
  <c r="AI217" i="46"/>
  <c r="AL217" i="46"/>
  <c r="AP217" i="46"/>
  <c r="AT219" i="46" s="1"/>
  <c r="BB217" i="46"/>
  <c r="BF217" i="46"/>
  <c r="BL217" i="46"/>
  <c r="F218" i="46"/>
  <c r="J220" i="46" s="1"/>
  <c r="I218" i="46"/>
  <c r="T218" i="46"/>
  <c r="V218" i="46"/>
  <c r="X218" i="46"/>
  <c r="Z218" i="46"/>
  <c r="AC218" i="46"/>
  <c r="AF218" i="46"/>
  <c r="AI218" i="46"/>
  <c r="AL218" i="46"/>
  <c r="AP218" i="46"/>
  <c r="AT218" i="46"/>
  <c r="BB218" i="46"/>
  <c r="BF218" i="46"/>
  <c r="BL218" i="46"/>
  <c r="F219" i="46"/>
  <c r="I219" i="46"/>
  <c r="T219" i="46"/>
  <c r="V219" i="46"/>
  <c r="X219" i="46"/>
  <c r="Z219" i="46"/>
  <c r="AC219" i="46"/>
  <c r="AF219" i="46"/>
  <c r="AI219" i="46"/>
  <c r="AL219" i="46"/>
  <c r="AP219" i="46"/>
  <c r="BB219" i="46"/>
  <c r="BF219" i="46"/>
  <c r="BL219" i="46"/>
  <c r="F220" i="46"/>
  <c r="I220" i="46"/>
  <c r="T220" i="46"/>
  <c r="V220" i="46"/>
  <c r="X220" i="46"/>
  <c r="Z220" i="46"/>
  <c r="AC220" i="46"/>
  <c r="AF220" i="46"/>
  <c r="AI220" i="46"/>
  <c r="AL220" i="46"/>
  <c r="AP220" i="46"/>
  <c r="BB220" i="46"/>
  <c r="BF220" i="46"/>
  <c r="BL220" i="46"/>
  <c r="F221" i="46"/>
  <c r="I221" i="46"/>
  <c r="J221" i="46"/>
  <c r="T221" i="46"/>
  <c r="V221" i="46"/>
  <c r="X221" i="46"/>
  <c r="Z221" i="46"/>
  <c r="AC221" i="46"/>
  <c r="AF221" i="46"/>
  <c r="AI221" i="46"/>
  <c r="AL221" i="46"/>
  <c r="AP221" i="46"/>
  <c r="BB221" i="46"/>
  <c r="BF221" i="46"/>
  <c r="BL221" i="46"/>
  <c r="F222" i="46"/>
  <c r="J225" i="46" s="1"/>
  <c r="I222" i="46"/>
  <c r="T222" i="46"/>
  <c r="V222" i="46"/>
  <c r="X222" i="46"/>
  <c r="Z222" i="46"/>
  <c r="AC222" i="46"/>
  <c r="AF222" i="46"/>
  <c r="AI222" i="46"/>
  <c r="AL222" i="46"/>
  <c r="AP222" i="46"/>
  <c r="AT222" i="46"/>
  <c r="BB222" i="46"/>
  <c r="BF222" i="46"/>
  <c r="BL222" i="46"/>
  <c r="F223" i="46"/>
  <c r="I223" i="46"/>
  <c r="T223" i="46"/>
  <c r="V223" i="46"/>
  <c r="X223" i="46"/>
  <c r="Z223" i="46"/>
  <c r="AC223" i="46"/>
  <c r="AF223" i="46"/>
  <c r="AI223" i="46"/>
  <c r="AL223" i="46"/>
  <c r="AP223" i="46"/>
  <c r="BB223" i="46"/>
  <c r="BF223" i="46"/>
  <c r="BL223" i="46"/>
  <c r="F224" i="46"/>
  <c r="I224" i="46"/>
  <c r="T224" i="46"/>
  <c r="V224" i="46"/>
  <c r="X224" i="46"/>
  <c r="Z224" i="46"/>
  <c r="AC224" i="46"/>
  <c r="AF224" i="46"/>
  <c r="AI224" i="46"/>
  <c r="AL224" i="46"/>
  <c r="AP224" i="46"/>
  <c r="AS227" i="46" s="1"/>
  <c r="BB224" i="46"/>
  <c r="BF224" i="46"/>
  <c r="BL224" i="46"/>
  <c r="F225" i="46"/>
  <c r="I225" i="46"/>
  <c r="T225" i="46"/>
  <c r="V225" i="46"/>
  <c r="X225" i="46"/>
  <c r="Z225" i="46"/>
  <c r="AC225" i="46"/>
  <c r="AF225" i="46"/>
  <c r="AI225" i="46"/>
  <c r="AL225" i="46"/>
  <c r="AP225" i="46"/>
  <c r="BB225" i="46"/>
  <c r="BF225" i="46"/>
  <c r="BL225" i="46"/>
  <c r="F226" i="46"/>
  <c r="I226" i="46"/>
  <c r="T226" i="46"/>
  <c r="V226" i="46"/>
  <c r="X226" i="46"/>
  <c r="Z226" i="46"/>
  <c r="AC226" i="46"/>
  <c r="AF226" i="46"/>
  <c r="AI226" i="46"/>
  <c r="AL226" i="46"/>
  <c r="AP226" i="46"/>
  <c r="BB226" i="46"/>
  <c r="BF226" i="46"/>
  <c r="BL226" i="46"/>
  <c r="F227" i="46"/>
  <c r="I227" i="46"/>
  <c r="J227" i="46"/>
  <c r="T227" i="46"/>
  <c r="V227" i="46"/>
  <c r="X227" i="46"/>
  <c r="Z227" i="46"/>
  <c r="AC227" i="46"/>
  <c r="AF227" i="46"/>
  <c r="AI227" i="46"/>
  <c r="AL227" i="46"/>
  <c r="AP227" i="46"/>
  <c r="BB227" i="46"/>
  <c r="BF227" i="46"/>
  <c r="BL227" i="46"/>
  <c r="F228" i="46"/>
  <c r="I228" i="46"/>
  <c r="T228" i="46"/>
  <c r="V228" i="46"/>
  <c r="X228" i="46"/>
  <c r="Z228" i="46"/>
  <c r="AC228" i="46"/>
  <c r="AF228" i="46"/>
  <c r="AI228" i="46"/>
  <c r="AL228" i="46"/>
  <c r="AP228" i="46"/>
  <c r="AT228" i="46"/>
  <c r="BB228" i="46"/>
  <c r="BF228" i="46"/>
  <c r="BL228" i="46"/>
  <c r="F229" i="46"/>
  <c r="I229" i="46"/>
  <c r="T229" i="46"/>
  <c r="V229" i="46"/>
  <c r="X229" i="46"/>
  <c r="Z229" i="46"/>
  <c r="AC229" i="46"/>
  <c r="AF229" i="46"/>
  <c r="AI229" i="46"/>
  <c r="AL229" i="46"/>
  <c r="AP229" i="46"/>
  <c r="BB229" i="46"/>
  <c r="BF229" i="46"/>
  <c r="BL229" i="46"/>
  <c r="F230" i="46"/>
  <c r="I230" i="46"/>
  <c r="T230" i="46"/>
  <c r="V230" i="46"/>
  <c r="X230" i="46"/>
  <c r="Z230" i="46"/>
  <c r="AC230" i="46"/>
  <c r="AF230" i="46"/>
  <c r="AI230" i="46"/>
  <c r="AL230" i="46"/>
  <c r="AP230" i="46"/>
  <c r="BB230" i="46"/>
  <c r="BF230" i="46"/>
  <c r="BL230" i="46"/>
  <c r="F231" i="46"/>
  <c r="I231" i="46"/>
  <c r="J231" i="46"/>
  <c r="T231" i="46"/>
  <c r="V231" i="46"/>
  <c r="X231" i="46"/>
  <c r="Z231" i="46"/>
  <c r="AC231" i="46"/>
  <c r="AF231" i="46"/>
  <c r="AI231" i="46"/>
  <c r="AL231" i="46"/>
  <c r="AP231" i="46"/>
  <c r="AT233" i="46" s="1"/>
  <c r="BB231" i="46"/>
  <c r="BF231" i="46"/>
  <c r="BL231" i="46"/>
  <c r="F232" i="46"/>
  <c r="I232" i="46"/>
  <c r="T232" i="46"/>
  <c r="V232" i="46"/>
  <c r="X232" i="46"/>
  <c r="Z232" i="46"/>
  <c r="AC232" i="46"/>
  <c r="AF232" i="46"/>
  <c r="AI232" i="46"/>
  <c r="AL232" i="46"/>
  <c r="AP232" i="46"/>
  <c r="BB232" i="46"/>
  <c r="BF232" i="46"/>
  <c r="BL232" i="46"/>
  <c r="F233" i="46"/>
  <c r="I233" i="46"/>
  <c r="T233" i="46"/>
  <c r="V233" i="46"/>
  <c r="X233" i="46"/>
  <c r="Z233" i="46"/>
  <c r="AC233" i="46"/>
  <c r="AF233" i="46"/>
  <c r="AI233" i="46"/>
  <c r="AL233" i="46"/>
  <c r="AP233" i="46"/>
  <c r="AT235" i="46" s="1"/>
  <c r="BB233" i="46"/>
  <c r="BF233" i="46"/>
  <c r="BL233" i="46"/>
  <c r="F234" i="46"/>
  <c r="I234" i="46"/>
  <c r="T234" i="46"/>
  <c r="V234" i="46"/>
  <c r="X234" i="46"/>
  <c r="Z234" i="46"/>
  <c r="AC234" i="46"/>
  <c r="AF234" i="46"/>
  <c r="AI234" i="46"/>
  <c r="AL234" i="46"/>
  <c r="AP234" i="46"/>
  <c r="BB234" i="46"/>
  <c r="BF234" i="46"/>
  <c r="BL234" i="46"/>
  <c r="F235" i="46"/>
  <c r="I235" i="46"/>
  <c r="J235" i="46"/>
  <c r="T235" i="46"/>
  <c r="V235" i="46"/>
  <c r="X235" i="46"/>
  <c r="Z235" i="46"/>
  <c r="AC235" i="46"/>
  <c r="AF235" i="46"/>
  <c r="AI235" i="46"/>
  <c r="AL235" i="46"/>
  <c r="AP235" i="46"/>
  <c r="BB235" i="46"/>
  <c r="BF235" i="46"/>
  <c r="BL235" i="46"/>
  <c r="F236" i="46"/>
  <c r="I236" i="46"/>
  <c r="T236" i="46"/>
  <c r="V236" i="46"/>
  <c r="X236" i="46"/>
  <c r="Z236" i="46"/>
  <c r="AC236" i="46"/>
  <c r="AF236" i="46"/>
  <c r="AI236" i="46"/>
  <c r="AL236" i="46"/>
  <c r="AP236" i="46"/>
  <c r="AT236" i="46"/>
  <c r="BB236" i="46"/>
  <c r="BF236" i="46"/>
  <c r="BL236" i="46"/>
  <c r="F237" i="46"/>
  <c r="I237" i="46"/>
  <c r="J237" i="46"/>
  <c r="T237" i="46"/>
  <c r="V237" i="46"/>
  <c r="X237" i="46"/>
  <c r="Z237" i="46"/>
  <c r="AC237" i="46"/>
  <c r="AF237" i="46"/>
  <c r="AI237" i="46"/>
  <c r="AL237" i="46"/>
  <c r="AP237" i="46"/>
  <c r="AT238" i="46" s="1"/>
  <c r="BB237" i="46"/>
  <c r="BF237" i="46"/>
  <c r="BL237" i="46"/>
  <c r="F238" i="46"/>
  <c r="J241" i="46" s="1"/>
  <c r="I238" i="46"/>
  <c r="T238" i="46"/>
  <c r="V238" i="46"/>
  <c r="X238" i="46"/>
  <c r="Z238" i="46"/>
  <c r="AC238" i="46"/>
  <c r="AF238" i="46"/>
  <c r="AI238" i="46"/>
  <c r="AL238" i="46"/>
  <c r="AP238" i="46"/>
  <c r="BB238" i="46"/>
  <c r="BF238" i="46"/>
  <c r="BL238" i="46"/>
  <c r="F239" i="46"/>
  <c r="I239" i="46"/>
  <c r="T239" i="46"/>
  <c r="V239" i="46"/>
  <c r="X239" i="46"/>
  <c r="Z239" i="46"/>
  <c r="AC239" i="46"/>
  <c r="AF239" i="46"/>
  <c r="AI239" i="46"/>
  <c r="AL239" i="46"/>
  <c r="AP239" i="46"/>
  <c r="BB239" i="46"/>
  <c r="BF239" i="46"/>
  <c r="BL239" i="46"/>
  <c r="F240" i="46"/>
  <c r="I240" i="46"/>
  <c r="T240" i="46"/>
  <c r="V240" i="46"/>
  <c r="X240" i="46"/>
  <c r="Z240" i="46"/>
  <c r="AC240" i="46"/>
  <c r="AF240" i="46"/>
  <c r="AI240" i="46"/>
  <c r="AL240" i="46"/>
  <c r="AP240" i="46"/>
  <c r="BB240" i="46"/>
  <c r="BF240" i="46"/>
  <c r="BL240" i="46"/>
  <c r="F241" i="46"/>
  <c r="I241" i="46"/>
  <c r="T241" i="46"/>
  <c r="V241" i="46"/>
  <c r="X241" i="46"/>
  <c r="Z241" i="46"/>
  <c r="AC241" i="46"/>
  <c r="AF241" i="46"/>
  <c r="AI241" i="46"/>
  <c r="AL241" i="46"/>
  <c r="AP241" i="46"/>
  <c r="BB241" i="46"/>
  <c r="BF241" i="46"/>
  <c r="BL241" i="46"/>
  <c r="F242" i="46"/>
  <c r="I242" i="46"/>
  <c r="T242" i="46"/>
  <c r="V242" i="46"/>
  <c r="X242" i="46"/>
  <c r="Z242" i="46"/>
  <c r="AC242" i="46"/>
  <c r="AF242" i="46"/>
  <c r="AI242" i="46"/>
  <c r="AL242" i="46"/>
  <c r="AP242" i="46"/>
  <c r="BB242" i="46"/>
  <c r="BF242" i="46"/>
  <c r="BL242" i="46"/>
  <c r="F243" i="46"/>
  <c r="I243" i="46"/>
  <c r="J243" i="46"/>
  <c r="T243" i="46"/>
  <c r="V243" i="46"/>
  <c r="X243" i="46"/>
  <c r="Z243" i="46"/>
  <c r="AC243" i="46"/>
  <c r="AF243" i="46"/>
  <c r="AI243" i="46"/>
  <c r="AL243" i="46"/>
  <c r="AP243" i="46"/>
  <c r="BB243" i="46"/>
  <c r="BF243" i="46"/>
  <c r="BL243" i="46"/>
  <c r="F244" i="46"/>
  <c r="J247" i="46" s="1"/>
  <c r="I244" i="46"/>
  <c r="T244" i="46"/>
  <c r="V244" i="46"/>
  <c r="X244" i="46"/>
  <c r="Z244" i="46"/>
  <c r="AC244" i="46"/>
  <c r="AF244" i="46"/>
  <c r="AI244" i="46"/>
  <c r="AL244" i="46"/>
  <c r="AP244" i="46"/>
  <c r="AT244" i="46"/>
  <c r="BB244" i="46"/>
  <c r="BF244" i="46"/>
  <c r="BL244" i="46"/>
  <c r="F245" i="46"/>
  <c r="I245" i="46"/>
  <c r="T245" i="46"/>
  <c r="V245" i="46"/>
  <c r="X245" i="46"/>
  <c r="Z245" i="46"/>
  <c r="AC245" i="46"/>
  <c r="AF245" i="46"/>
  <c r="AI245" i="46"/>
  <c r="AL245" i="46"/>
  <c r="AP245" i="46"/>
  <c r="BB245" i="46"/>
  <c r="BF245" i="46"/>
  <c r="BL245" i="46"/>
  <c r="F246" i="46"/>
  <c r="I246" i="46"/>
  <c r="T246" i="46"/>
  <c r="V246" i="46"/>
  <c r="X246" i="46"/>
  <c r="Z246" i="46"/>
  <c r="AC246" i="46"/>
  <c r="AF246" i="46"/>
  <c r="AI246" i="46"/>
  <c r="AL246" i="46"/>
  <c r="AP246" i="46"/>
  <c r="AT248" i="46" s="1"/>
  <c r="BB246" i="46"/>
  <c r="BF246" i="46"/>
  <c r="BL246" i="46"/>
  <c r="F247" i="46"/>
  <c r="I247" i="46"/>
  <c r="T247" i="46"/>
  <c r="V247" i="46"/>
  <c r="X247" i="46"/>
  <c r="Z247" i="46"/>
  <c r="AC247" i="46"/>
  <c r="AF247" i="46"/>
  <c r="AI247" i="46"/>
  <c r="AL247" i="46"/>
  <c r="AP247" i="46"/>
  <c r="AT249" i="46" s="1"/>
  <c r="BB247" i="46"/>
  <c r="BF247" i="46"/>
  <c r="BL247" i="46"/>
  <c r="F248" i="46"/>
  <c r="I248" i="46"/>
  <c r="T248" i="46"/>
  <c r="V248" i="46"/>
  <c r="X248" i="46"/>
  <c r="Z248" i="46"/>
  <c r="AC248" i="46"/>
  <c r="AF248" i="46"/>
  <c r="AI248" i="46"/>
  <c r="AL248" i="46"/>
  <c r="AP248" i="46"/>
  <c r="AS251" i="46" s="1"/>
  <c r="BB248" i="46"/>
  <c r="BF248" i="46"/>
  <c r="BL248" i="46"/>
  <c r="F249" i="46"/>
  <c r="I249" i="46"/>
  <c r="T249" i="46"/>
  <c r="V249" i="46"/>
  <c r="X249" i="46"/>
  <c r="Z249" i="46"/>
  <c r="AC249" i="46"/>
  <c r="AF249" i="46"/>
  <c r="AI249" i="46"/>
  <c r="AL249" i="46"/>
  <c r="AP249" i="46"/>
  <c r="BB249" i="46"/>
  <c r="BF249" i="46"/>
  <c r="BL249" i="46"/>
  <c r="F250" i="46"/>
  <c r="I250" i="46"/>
  <c r="T250" i="46"/>
  <c r="V250" i="46"/>
  <c r="X250" i="46"/>
  <c r="Z250" i="46"/>
  <c r="AC250" i="46"/>
  <c r="AF250" i="46"/>
  <c r="AI250" i="46"/>
  <c r="AL250" i="46"/>
  <c r="AP250" i="46"/>
  <c r="BB250" i="46"/>
  <c r="BF250" i="46"/>
  <c r="BL250" i="46"/>
  <c r="F251" i="46"/>
  <c r="J253" i="46" s="1"/>
  <c r="I251" i="46"/>
  <c r="J251" i="46"/>
  <c r="T251" i="46"/>
  <c r="V251" i="46"/>
  <c r="X251" i="46"/>
  <c r="Z251" i="46"/>
  <c r="AC251" i="46"/>
  <c r="AF251" i="46"/>
  <c r="AI251" i="46"/>
  <c r="AL251" i="46"/>
  <c r="AP251" i="46"/>
  <c r="BB251" i="46"/>
  <c r="BF251" i="46"/>
  <c r="BL251" i="46"/>
  <c r="F252" i="46"/>
  <c r="I252" i="46"/>
  <c r="T252" i="46"/>
  <c r="V252" i="46"/>
  <c r="X252" i="46"/>
  <c r="Z252" i="46"/>
  <c r="AC252" i="46"/>
  <c r="AF252" i="46"/>
  <c r="AI252" i="46"/>
  <c r="AL252" i="46"/>
  <c r="AP252" i="46"/>
  <c r="AT252" i="46"/>
  <c r="BB252" i="46"/>
  <c r="BF252" i="46"/>
  <c r="BL252" i="46"/>
  <c r="F253" i="46"/>
  <c r="I253" i="46"/>
  <c r="T253" i="46"/>
  <c r="V253" i="46"/>
  <c r="X253" i="46"/>
  <c r="Z253" i="46"/>
  <c r="AC253" i="46"/>
  <c r="AF253" i="46"/>
  <c r="AI253" i="46"/>
  <c r="AL253" i="46"/>
  <c r="AP253" i="46"/>
  <c r="BB253" i="46"/>
  <c r="BF253" i="46"/>
  <c r="BL253" i="46"/>
  <c r="F254" i="46"/>
  <c r="I254" i="46"/>
  <c r="T254" i="46"/>
  <c r="V254" i="46"/>
  <c r="X254" i="46"/>
  <c r="Z254" i="46"/>
  <c r="AC254" i="46"/>
  <c r="AF254" i="46"/>
  <c r="AI254" i="46"/>
  <c r="AL254" i="46"/>
  <c r="AP254" i="46"/>
  <c r="BB254" i="46"/>
  <c r="BF254" i="46"/>
  <c r="BL254" i="46"/>
  <c r="F255" i="46"/>
  <c r="I255" i="46"/>
  <c r="T255" i="46"/>
  <c r="V255" i="46"/>
  <c r="X255" i="46"/>
  <c r="Z255" i="46"/>
  <c r="AC255" i="46"/>
  <c r="AF255" i="46"/>
  <c r="AI255" i="46"/>
  <c r="AL255" i="46"/>
  <c r="AP255" i="46"/>
  <c r="AT257" i="46" s="1"/>
  <c r="BB255" i="46"/>
  <c r="BF255" i="46"/>
  <c r="BL255" i="46"/>
  <c r="F256" i="46"/>
  <c r="J258" i="46" s="1"/>
  <c r="I256" i="46"/>
  <c r="T256" i="46"/>
  <c r="V256" i="46"/>
  <c r="X256" i="46"/>
  <c r="Z256" i="46"/>
  <c r="AC256" i="46"/>
  <c r="AF256" i="46"/>
  <c r="AI256" i="46"/>
  <c r="AL256" i="46"/>
  <c r="AP256" i="46"/>
  <c r="BB256" i="46"/>
  <c r="BF256" i="46"/>
  <c r="BL256" i="46"/>
  <c r="F257" i="46"/>
  <c r="I257" i="46"/>
  <c r="T257" i="46"/>
  <c r="V257" i="46"/>
  <c r="X257" i="46"/>
  <c r="Z257" i="46"/>
  <c r="AC257" i="46"/>
  <c r="AF257" i="46"/>
  <c r="AI257" i="46"/>
  <c r="AL257" i="46"/>
  <c r="AP257" i="46"/>
  <c r="BB257" i="46"/>
  <c r="BF257" i="46"/>
  <c r="BL257" i="46"/>
  <c r="F258" i="46"/>
  <c r="I258" i="46"/>
  <c r="T258" i="46"/>
  <c r="V258" i="46"/>
  <c r="X258" i="46"/>
  <c r="Z258" i="46"/>
  <c r="AC258" i="46"/>
  <c r="AF258" i="46"/>
  <c r="AI258" i="46"/>
  <c r="AL258" i="46"/>
  <c r="AP258" i="46"/>
  <c r="BB258" i="46"/>
  <c r="BF258" i="46"/>
  <c r="BL258" i="46"/>
  <c r="F259" i="46"/>
  <c r="I259" i="46"/>
  <c r="T259" i="46"/>
  <c r="V259" i="46"/>
  <c r="X259" i="46"/>
  <c r="Z259" i="46"/>
  <c r="AC259" i="46"/>
  <c r="AF259" i="46"/>
  <c r="AI259" i="46"/>
  <c r="AL259" i="46"/>
  <c r="AP259" i="46"/>
  <c r="BB259" i="46"/>
  <c r="BF259" i="46"/>
  <c r="BL259" i="46"/>
  <c r="F260" i="46"/>
  <c r="I260" i="46"/>
  <c r="T260" i="46"/>
  <c r="V260" i="46"/>
  <c r="X260" i="46"/>
  <c r="Z260" i="46"/>
  <c r="AC260" i="46"/>
  <c r="AF260" i="46"/>
  <c r="AI260" i="46"/>
  <c r="AL260" i="46"/>
  <c r="AP260" i="46"/>
  <c r="BB260" i="46"/>
  <c r="BF260" i="46"/>
  <c r="BL260" i="46"/>
  <c r="F261" i="46"/>
  <c r="I261" i="46"/>
  <c r="T261" i="46"/>
  <c r="V261" i="46"/>
  <c r="X261" i="46"/>
  <c r="Z261" i="46"/>
  <c r="AC261" i="46"/>
  <c r="AF261" i="46"/>
  <c r="AI261" i="46"/>
  <c r="AL261" i="46"/>
  <c r="AP261" i="46"/>
  <c r="BB261" i="46"/>
  <c r="BF261" i="46"/>
  <c r="BL261" i="46"/>
  <c r="F262" i="46"/>
  <c r="I262" i="46"/>
  <c r="T262" i="46"/>
  <c r="V262" i="46"/>
  <c r="X262" i="46"/>
  <c r="Z262" i="46"/>
  <c r="AC262" i="46"/>
  <c r="AF262" i="46"/>
  <c r="AI262" i="46"/>
  <c r="AL262" i="46"/>
  <c r="AP262" i="46"/>
  <c r="AS265" i="46" s="1"/>
  <c r="BB262" i="46"/>
  <c r="BF262" i="46"/>
  <c r="BL262" i="46"/>
  <c r="F263" i="46"/>
  <c r="I263" i="46"/>
  <c r="T263" i="46"/>
  <c r="V263" i="46"/>
  <c r="X263" i="46"/>
  <c r="Z263" i="46"/>
  <c r="AC263" i="46"/>
  <c r="AF263" i="46"/>
  <c r="AI263" i="46"/>
  <c r="AL263" i="46"/>
  <c r="AP263" i="46"/>
  <c r="BB263" i="46"/>
  <c r="BF263" i="46"/>
  <c r="BL263" i="46"/>
  <c r="F264" i="46"/>
  <c r="I264" i="46"/>
  <c r="T264" i="46"/>
  <c r="V264" i="46"/>
  <c r="X264" i="46"/>
  <c r="Z264" i="46"/>
  <c r="AC264" i="46"/>
  <c r="AF264" i="46"/>
  <c r="AI264" i="46"/>
  <c r="AL264" i="46"/>
  <c r="AP264" i="46"/>
  <c r="AS267" i="46" s="1"/>
  <c r="BB264" i="46"/>
  <c r="BF264" i="46"/>
  <c r="BL264" i="46"/>
  <c r="F265" i="46"/>
  <c r="I265" i="46"/>
  <c r="J265" i="46"/>
  <c r="T265" i="46"/>
  <c r="V265" i="46"/>
  <c r="X265" i="46"/>
  <c r="Z265" i="46"/>
  <c r="AC265" i="46"/>
  <c r="AF265" i="46"/>
  <c r="AI265" i="46"/>
  <c r="AL265" i="46"/>
  <c r="AP265" i="46"/>
  <c r="AT268" i="46" s="1"/>
  <c r="BB265" i="46"/>
  <c r="BF265" i="46"/>
  <c r="BL265" i="46"/>
  <c r="F266" i="46"/>
  <c r="J267" i="46" s="1"/>
  <c r="I266" i="46"/>
  <c r="T266" i="46"/>
  <c r="V266" i="46"/>
  <c r="X266" i="46"/>
  <c r="Z266" i="46"/>
  <c r="AC266" i="46"/>
  <c r="AF266" i="46"/>
  <c r="AI266" i="46"/>
  <c r="AL266" i="46"/>
  <c r="AP266" i="46"/>
  <c r="AT266" i="46"/>
  <c r="BB266" i="46"/>
  <c r="BF266" i="46"/>
  <c r="BL266" i="46"/>
  <c r="F267" i="46"/>
  <c r="J269" i="46" s="1"/>
  <c r="I267" i="46"/>
  <c r="T267" i="46"/>
  <c r="V267" i="46"/>
  <c r="X267" i="46"/>
  <c r="Z267" i="46"/>
  <c r="AC267" i="46"/>
  <c r="AF267" i="46"/>
  <c r="AI267" i="46"/>
  <c r="AL267" i="46"/>
  <c r="AP267" i="46"/>
  <c r="BB267" i="46"/>
  <c r="BF267" i="46"/>
  <c r="BL267" i="46"/>
  <c r="F268" i="46"/>
  <c r="I268" i="46"/>
  <c r="T268" i="46"/>
  <c r="V268" i="46"/>
  <c r="X268" i="46"/>
  <c r="Z268" i="46"/>
  <c r="AC268" i="46"/>
  <c r="AF268" i="46"/>
  <c r="AI268" i="46"/>
  <c r="AL268" i="46"/>
  <c r="AP268" i="46"/>
  <c r="BB268" i="46"/>
  <c r="BF268" i="46"/>
  <c r="BL268" i="46"/>
  <c r="F269" i="46"/>
  <c r="I269" i="46"/>
  <c r="T269" i="46"/>
  <c r="V269" i="46"/>
  <c r="X269" i="46"/>
  <c r="Z269" i="46"/>
  <c r="AC269" i="46"/>
  <c r="AF269" i="46"/>
  <c r="AI269" i="46"/>
  <c r="AL269" i="46"/>
  <c r="AP269" i="46"/>
  <c r="BB269" i="46"/>
  <c r="BF269" i="46"/>
  <c r="BL269" i="46"/>
  <c r="F270" i="46"/>
  <c r="I270" i="46"/>
  <c r="T270" i="46"/>
  <c r="V270" i="46"/>
  <c r="X270" i="46"/>
  <c r="Z270" i="46"/>
  <c r="AC270" i="46"/>
  <c r="AF270" i="46"/>
  <c r="AI270" i="46"/>
  <c r="AL270" i="46"/>
  <c r="AP270" i="46"/>
  <c r="AS273" i="46" s="1"/>
  <c r="BB270" i="46"/>
  <c r="BF270" i="46"/>
  <c r="BL270" i="46"/>
  <c r="F271" i="46"/>
  <c r="I271" i="46"/>
  <c r="T271" i="46"/>
  <c r="V271" i="46"/>
  <c r="X271" i="46"/>
  <c r="Z271" i="46"/>
  <c r="AC271" i="46"/>
  <c r="AF271" i="46"/>
  <c r="AI271" i="46"/>
  <c r="AL271" i="46"/>
  <c r="AP271" i="46"/>
  <c r="BB271" i="46"/>
  <c r="BF271" i="46"/>
  <c r="BL271" i="46"/>
  <c r="F272" i="46"/>
  <c r="J274" i="46" s="1"/>
  <c r="I272" i="46"/>
  <c r="T272" i="46"/>
  <c r="V272" i="46"/>
  <c r="X272" i="46"/>
  <c r="Z272" i="46"/>
  <c r="AC272" i="46"/>
  <c r="AF272" i="46"/>
  <c r="AI272" i="46"/>
  <c r="AL272" i="46"/>
  <c r="AP272" i="46"/>
  <c r="AS275" i="46" s="1"/>
  <c r="BB272" i="46"/>
  <c r="BF272" i="46"/>
  <c r="BL272" i="46"/>
  <c r="F273" i="46"/>
  <c r="I273" i="46"/>
  <c r="J273" i="46"/>
  <c r="T273" i="46"/>
  <c r="V273" i="46"/>
  <c r="X273" i="46"/>
  <c r="Z273" i="46"/>
  <c r="AC273" i="46"/>
  <c r="AF273" i="46"/>
  <c r="AI273" i="46"/>
  <c r="AL273" i="46"/>
  <c r="AP273" i="46"/>
  <c r="BB273" i="46"/>
  <c r="BF273" i="46"/>
  <c r="BL273" i="46"/>
  <c r="F274" i="46"/>
  <c r="I274" i="46"/>
  <c r="T274" i="46"/>
  <c r="V274" i="46"/>
  <c r="X274" i="46"/>
  <c r="Z274" i="46"/>
  <c r="AC274" i="46"/>
  <c r="AF274" i="46"/>
  <c r="AI274" i="46"/>
  <c r="AL274" i="46"/>
  <c r="AP274" i="46"/>
  <c r="AT274" i="46"/>
  <c r="BB274" i="46"/>
  <c r="BF274" i="46"/>
  <c r="BL274" i="46"/>
  <c r="F275" i="46"/>
  <c r="J277" i="46" s="1"/>
  <c r="I275" i="46"/>
  <c r="T275" i="46"/>
  <c r="V275" i="46"/>
  <c r="X275" i="46"/>
  <c r="Z275" i="46"/>
  <c r="AC275" i="46"/>
  <c r="AF275" i="46"/>
  <c r="AI275" i="46"/>
  <c r="AL275" i="46"/>
  <c r="AP275" i="46"/>
  <c r="BB275" i="46"/>
  <c r="BF275" i="46"/>
  <c r="BL275" i="46"/>
  <c r="F276" i="46"/>
  <c r="I276" i="46"/>
  <c r="T276" i="46"/>
  <c r="V276" i="46"/>
  <c r="X276" i="46"/>
  <c r="Z276" i="46"/>
  <c r="AC276" i="46"/>
  <c r="AF276" i="46"/>
  <c r="AI276" i="46"/>
  <c r="AL276" i="46"/>
  <c r="AP276" i="46"/>
  <c r="AT276" i="46"/>
  <c r="BB276" i="46"/>
  <c r="BF276" i="46"/>
  <c r="BL276" i="46"/>
  <c r="F277" i="46"/>
  <c r="I277" i="46"/>
  <c r="T277" i="46"/>
  <c r="V277" i="46"/>
  <c r="X277" i="46"/>
  <c r="Z277" i="46"/>
  <c r="AC277" i="46"/>
  <c r="AF277" i="46"/>
  <c r="AI277" i="46"/>
  <c r="AL277" i="46"/>
  <c r="AP277" i="46"/>
  <c r="AT279" i="46" s="1"/>
  <c r="BB277" i="46"/>
  <c r="BF277" i="46"/>
  <c r="BL277" i="46"/>
  <c r="F278" i="46"/>
  <c r="J280" i="46" s="1"/>
  <c r="I278" i="46"/>
  <c r="T278" i="46"/>
  <c r="V278" i="46"/>
  <c r="X278" i="46"/>
  <c r="Z278" i="46"/>
  <c r="AC278" i="46"/>
  <c r="AF278" i="46"/>
  <c r="AI278" i="46"/>
  <c r="AL278" i="46"/>
  <c r="AP278" i="46"/>
  <c r="BB278" i="46"/>
  <c r="BF278" i="46"/>
  <c r="BL278" i="46"/>
  <c r="F279" i="46"/>
  <c r="I279" i="46"/>
  <c r="J279" i="46"/>
  <c r="T279" i="46"/>
  <c r="V279" i="46"/>
  <c r="X279" i="46"/>
  <c r="Z279" i="46"/>
  <c r="AC279" i="46"/>
  <c r="AF279" i="46"/>
  <c r="AI279" i="46"/>
  <c r="AL279" i="46"/>
  <c r="AP279" i="46"/>
  <c r="BB279" i="46"/>
  <c r="BF279" i="46"/>
  <c r="BL279" i="46"/>
  <c r="F280" i="46"/>
  <c r="I280" i="46"/>
  <c r="T280" i="46"/>
  <c r="V280" i="46"/>
  <c r="X280" i="46"/>
  <c r="Z280" i="46"/>
  <c r="AC280" i="46"/>
  <c r="AF280" i="46"/>
  <c r="AI280" i="46"/>
  <c r="AL280" i="46"/>
  <c r="AP280" i="46"/>
  <c r="AT280" i="46"/>
  <c r="BB280" i="46"/>
  <c r="BF280" i="46"/>
  <c r="BL280" i="46"/>
  <c r="F281" i="46"/>
  <c r="I281" i="46"/>
  <c r="J281" i="46"/>
  <c r="T281" i="46"/>
  <c r="V281" i="46"/>
  <c r="X281" i="46"/>
  <c r="Z281" i="46"/>
  <c r="AC281" i="46"/>
  <c r="AF281" i="46"/>
  <c r="AI281" i="46"/>
  <c r="AL281" i="46"/>
  <c r="AP281" i="46"/>
  <c r="AT283" i="46" s="1"/>
  <c r="BB281" i="46"/>
  <c r="BF281" i="46"/>
  <c r="BL281" i="46"/>
  <c r="F282" i="46"/>
  <c r="J283" i="46" s="1"/>
  <c r="I282" i="46"/>
  <c r="T282" i="46"/>
  <c r="V282" i="46"/>
  <c r="X282" i="46"/>
  <c r="Z282" i="46"/>
  <c r="AC282" i="46"/>
  <c r="AF282" i="46"/>
  <c r="AI282" i="46"/>
  <c r="AL282" i="46"/>
  <c r="AP282" i="46"/>
  <c r="AT282" i="46"/>
  <c r="BB282" i="46"/>
  <c r="BF282" i="46"/>
  <c r="BL282" i="46"/>
  <c r="F283" i="46"/>
  <c r="I283" i="46"/>
  <c r="T283" i="46"/>
  <c r="V283" i="46"/>
  <c r="X283" i="46"/>
  <c r="Z283" i="46"/>
  <c r="AC283" i="46"/>
  <c r="AF283" i="46"/>
  <c r="AI283" i="46"/>
  <c r="AL283" i="46"/>
  <c r="AP283" i="46"/>
  <c r="BB283" i="46"/>
  <c r="BF283" i="46"/>
  <c r="BL283" i="46"/>
  <c r="F284" i="46"/>
  <c r="I284" i="46"/>
  <c r="T284" i="46"/>
  <c r="V284" i="46"/>
  <c r="X284" i="46"/>
  <c r="Z284" i="46"/>
  <c r="AC284" i="46"/>
  <c r="AF284" i="46"/>
  <c r="AI284" i="46"/>
  <c r="AL284" i="46"/>
  <c r="AP284" i="46"/>
  <c r="BB284" i="46"/>
  <c r="BF284" i="46"/>
  <c r="BL284" i="46"/>
  <c r="F285" i="46"/>
  <c r="I285" i="46"/>
  <c r="J285" i="46"/>
  <c r="T285" i="46"/>
  <c r="V285" i="46"/>
  <c r="X285" i="46"/>
  <c r="Z285" i="46"/>
  <c r="AC285" i="46"/>
  <c r="AF285" i="46"/>
  <c r="AI285" i="46"/>
  <c r="AL285" i="46"/>
  <c r="AP285" i="46"/>
  <c r="BB285" i="46"/>
  <c r="BF285" i="46"/>
  <c r="BL285" i="46"/>
  <c r="F286" i="46"/>
  <c r="J289" i="46" s="1"/>
  <c r="I286" i="46"/>
  <c r="T286" i="46"/>
  <c r="V286" i="46"/>
  <c r="X286" i="46"/>
  <c r="Z286" i="46"/>
  <c r="AC286" i="46"/>
  <c r="AF286" i="46"/>
  <c r="AI286" i="46"/>
  <c r="AL286" i="46"/>
  <c r="AP286" i="46"/>
  <c r="AT286" i="46"/>
  <c r="BB286" i="46"/>
  <c r="BF286" i="46"/>
  <c r="BL286" i="46"/>
  <c r="F287" i="46"/>
  <c r="I287" i="46"/>
  <c r="T287" i="46"/>
  <c r="V287" i="46"/>
  <c r="X287" i="46"/>
  <c r="Z287" i="46"/>
  <c r="AC287" i="46"/>
  <c r="AF287" i="46"/>
  <c r="AI287" i="46"/>
  <c r="AL287" i="46"/>
  <c r="AP287" i="46"/>
  <c r="BB287" i="46"/>
  <c r="BF287" i="46"/>
  <c r="BL287" i="46"/>
  <c r="F288" i="46"/>
  <c r="I288" i="46"/>
  <c r="T288" i="46"/>
  <c r="V288" i="46"/>
  <c r="X288" i="46"/>
  <c r="Z288" i="46"/>
  <c r="AC288" i="46"/>
  <c r="AF288" i="46"/>
  <c r="AI288" i="46"/>
  <c r="AL288" i="46"/>
  <c r="AP288" i="46"/>
  <c r="AS291" i="46" s="1"/>
  <c r="BB288" i="46"/>
  <c r="BF288" i="46"/>
  <c r="BL288" i="46"/>
  <c r="F289" i="46"/>
  <c r="I289" i="46"/>
  <c r="T289" i="46"/>
  <c r="V289" i="46"/>
  <c r="X289" i="46"/>
  <c r="Z289" i="46"/>
  <c r="AC289" i="46"/>
  <c r="AF289" i="46"/>
  <c r="AI289" i="46"/>
  <c r="AL289" i="46"/>
  <c r="AP289" i="46"/>
  <c r="BB289" i="46"/>
  <c r="BF289" i="46"/>
  <c r="BL289" i="46"/>
  <c r="F290" i="46"/>
  <c r="I290" i="46"/>
  <c r="T290" i="46"/>
  <c r="V290" i="46"/>
  <c r="X290" i="46"/>
  <c r="Z290" i="46"/>
  <c r="AC290" i="46"/>
  <c r="AF290" i="46"/>
  <c r="AI290" i="46"/>
  <c r="AL290" i="46"/>
  <c r="AP290" i="46"/>
  <c r="BB290" i="46"/>
  <c r="BF290" i="46"/>
  <c r="BL290" i="46"/>
  <c r="F291" i="46"/>
  <c r="I291" i="46"/>
  <c r="J291" i="46"/>
  <c r="T291" i="46"/>
  <c r="V291" i="46"/>
  <c r="X291" i="46"/>
  <c r="Z291" i="46"/>
  <c r="AC291" i="46"/>
  <c r="AF291" i="46"/>
  <c r="AI291" i="46"/>
  <c r="AL291" i="46"/>
  <c r="AP291" i="46"/>
  <c r="BB291" i="46"/>
  <c r="BF291" i="46"/>
  <c r="BL291" i="46"/>
  <c r="F292" i="46"/>
  <c r="I292" i="46"/>
  <c r="T292" i="46"/>
  <c r="V292" i="46"/>
  <c r="X292" i="46"/>
  <c r="Z292" i="46"/>
  <c r="AC292" i="46"/>
  <c r="AF292" i="46"/>
  <c r="AI292" i="46"/>
  <c r="AL292" i="46"/>
  <c r="AP292" i="46"/>
  <c r="AT292" i="46"/>
  <c r="BB292" i="46"/>
  <c r="BF292" i="46"/>
  <c r="BL292" i="46"/>
  <c r="F293" i="46"/>
  <c r="I293" i="46"/>
  <c r="T293" i="46"/>
  <c r="V293" i="46"/>
  <c r="X293" i="46"/>
  <c r="Z293" i="46"/>
  <c r="AC293" i="46"/>
  <c r="AF293" i="46"/>
  <c r="AI293" i="46"/>
  <c r="AL293" i="46"/>
  <c r="AP293" i="46"/>
  <c r="BB293" i="46"/>
  <c r="BF293" i="46"/>
  <c r="BL293" i="46"/>
  <c r="F4" i="47"/>
  <c r="F5" i="47" s="1"/>
  <c r="F6" i="47" s="1"/>
  <c r="F7" i="47" s="1"/>
  <c r="F8" i="47" s="1"/>
  <c r="F9" i="47" s="1"/>
  <c r="O18" i="47"/>
  <c r="Q18" i="47"/>
  <c r="Z15" i="47"/>
  <c r="AB15" i="47"/>
  <c r="AD15" i="47"/>
  <c r="AE16" i="47"/>
  <c r="AG16" i="47"/>
  <c r="AJ16" i="47"/>
  <c r="AK17" i="47"/>
  <c r="AL17" i="47"/>
  <c r="AW17" i="47"/>
  <c r="AX18" i="47"/>
  <c r="AY18" i="47"/>
  <c r="AZ18" i="47"/>
  <c r="BF15" i="47"/>
  <c r="BG15" i="47"/>
  <c r="BH15" i="47"/>
  <c r="BJ16" i="47"/>
  <c r="BK16" i="47"/>
  <c r="BL16" i="47"/>
  <c r="BM17" i="47"/>
  <c r="BO17" i="47"/>
  <c r="BP17" i="47"/>
  <c r="BQ18" i="47"/>
  <c r="BR18" i="47"/>
  <c r="BS18" i="47"/>
  <c r="BT17" i="47"/>
  <c r="BU18" i="47"/>
  <c r="CI4" i="47"/>
  <c r="CK4" i="47" s="1"/>
  <c r="CJ4" i="47"/>
  <c r="CJ8" i="47" s="1"/>
  <c r="CO4" i="47"/>
  <c r="CQ4" i="47"/>
  <c r="CU4" i="47"/>
  <c r="CV4" i="47"/>
  <c r="DA4" i="47"/>
  <c r="DB4" i="47"/>
  <c r="DF4" i="47"/>
  <c r="DH4" i="47"/>
  <c r="DK4" i="47"/>
  <c r="DM4" i="47"/>
  <c r="DQ4" i="47"/>
  <c r="DR4" i="47"/>
  <c r="DV4" i="47"/>
  <c r="DZ4" i="47"/>
  <c r="EA4" i="47"/>
  <c r="CM36" i="47"/>
  <c r="CN36" i="47"/>
  <c r="CQ36" i="47"/>
  <c r="CR36" i="47"/>
  <c r="O20" i="47"/>
  <c r="O23" i="47"/>
  <c r="Q22" i="47"/>
  <c r="Q23" i="47"/>
  <c r="R21" i="47"/>
  <c r="R22" i="47"/>
  <c r="S20" i="47"/>
  <c r="S21" i="47"/>
  <c r="T20" i="47"/>
  <c r="T23" i="47"/>
  <c r="Y22" i="47"/>
  <c r="Y23" i="47"/>
  <c r="Z21" i="47"/>
  <c r="Z22" i="47"/>
  <c r="AB20" i="47"/>
  <c r="AB21" i="47"/>
  <c r="AD20" i="47"/>
  <c r="AD23" i="47"/>
  <c r="AE22" i="47"/>
  <c r="AE23" i="47"/>
  <c r="AG21" i="47"/>
  <c r="AG22" i="47"/>
  <c r="AJ21" i="47"/>
  <c r="AK20" i="47"/>
  <c r="AK23" i="47"/>
  <c r="AL22" i="47"/>
  <c r="AL23" i="47"/>
  <c r="AW21" i="47"/>
  <c r="AW22" i="47"/>
  <c r="AX20" i="47"/>
  <c r="AX21" i="47"/>
  <c r="AY20" i="47"/>
  <c r="AY23" i="47"/>
  <c r="AZ22" i="47"/>
  <c r="AZ23" i="47"/>
  <c r="BB21" i="47"/>
  <c r="BB22" i="47"/>
  <c r="BC20" i="47"/>
  <c r="BC21" i="47"/>
  <c r="BD20" i="47"/>
  <c r="BD23" i="47"/>
  <c r="BE22" i="47"/>
  <c r="BE23" i="47"/>
  <c r="BF21" i="47"/>
  <c r="BF22" i="47"/>
  <c r="BG20" i="47"/>
  <c r="BG21" i="47"/>
  <c r="BH20" i="47"/>
  <c r="BH23" i="47"/>
  <c r="BJ22" i="47"/>
  <c r="BJ23" i="47"/>
  <c r="BK21" i="47"/>
  <c r="BK22" i="47"/>
  <c r="BL20" i="47"/>
  <c r="BL21" i="47"/>
  <c r="BM20" i="47"/>
  <c r="BM23" i="47"/>
  <c r="BO22" i="47"/>
  <c r="BO23" i="47"/>
  <c r="BP21" i="47"/>
  <c r="BP22" i="47"/>
  <c r="BQ20" i="47"/>
  <c r="BQ21" i="47"/>
  <c r="BR20" i="47"/>
  <c r="BR23" i="47"/>
  <c r="BS23" i="47"/>
  <c r="BT21" i="47"/>
  <c r="BT22" i="47"/>
  <c r="BU20" i="47"/>
  <c r="BU21" i="47"/>
  <c r="CM5" i="47"/>
  <c r="CQ5" i="47"/>
  <c r="CR5" i="47"/>
  <c r="CV5" i="47"/>
  <c r="CW5" i="47"/>
  <c r="DA5" i="47"/>
  <c r="DB5" i="47"/>
  <c r="DH5" i="47"/>
  <c r="DK5" i="47"/>
  <c r="DM5" i="47"/>
  <c r="DQ5" i="47"/>
  <c r="DR5" i="47"/>
  <c r="DV5" i="47"/>
  <c r="DZ5" i="47"/>
  <c r="EA5" i="47"/>
  <c r="CM37" i="47"/>
  <c r="CN37" i="47"/>
  <c r="CS36" i="47"/>
  <c r="O25" i="47"/>
  <c r="O28" i="47"/>
  <c r="Q27" i="47"/>
  <c r="Q28" i="47"/>
  <c r="R26" i="47"/>
  <c r="R27" i="47"/>
  <c r="S25" i="47"/>
  <c r="S26" i="47"/>
  <c r="T25" i="47"/>
  <c r="T28" i="47"/>
  <c r="Y27" i="47"/>
  <c r="Y28" i="47"/>
  <c r="Z26" i="47"/>
  <c r="Z27" i="47"/>
  <c r="AB25" i="47"/>
  <c r="AB26" i="47"/>
  <c r="AD25" i="47"/>
  <c r="AD28" i="47"/>
  <c r="AE27" i="47"/>
  <c r="AE28" i="47"/>
  <c r="AG26" i="47"/>
  <c r="AG27" i="47"/>
  <c r="AJ25" i="47"/>
  <c r="AJ26" i="47"/>
  <c r="AK25" i="47"/>
  <c r="AK28" i="47"/>
  <c r="AL27" i="47"/>
  <c r="AL28" i="47"/>
  <c r="AW26" i="47"/>
  <c r="AW27" i="47"/>
  <c r="AX25" i="47"/>
  <c r="AX26" i="47"/>
  <c r="AY25" i="47"/>
  <c r="AY28" i="47"/>
  <c r="AZ27" i="47"/>
  <c r="AZ28" i="47"/>
  <c r="BB26" i="47"/>
  <c r="BC25" i="47"/>
  <c r="BC26" i="47"/>
  <c r="BD25" i="47"/>
  <c r="BD28" i="47"/>
  <c r="BE27" i="47"/>
  <c r="BE28" i="47"/>
  <c r="BF26" i="47"/>
  <c r="BF27" i="47"/>
  <c r="BG25" i="47"/>
  <c r="BG26" i="47"/>
  <c r="BH25" i="47"/>
  <c r="BH28" i="47"/>
  <c r="BJ27" i="47"/>
  <c r="BJ28" i="47"/>
  <c r="BK26" i="47"/>
  <c r="BK27" i="47"/>
  <c r="BL25" i="47"/>
  <c r="BL26" i="47"/>
  <c r="BM25" i="47"/>
  <c r="BM28" i="47"/>
  <c r="BO27" i="47"/>
  <c r="BO28" i="47"/>
  <c r="BP26" i="47"/>
  <c r="BP27" i="47"/>
  <c r="BQ25" i="47"/>
  <c r="BQ26" i="47"/>
  <c r="BR25" i="47"/>
  <c r="BR28" i="47"/>
  <c r="BS27" i="47"/>
  <c r="BS28" i="47"/>
  <c r="BT26" i="47"/>
  <c r="BT27" i="47"/>
  <c r="BU25" i="47"/>
  <c r="BU26" i="47"/>
  <c r="CM6" i="47"/>
  <c r="CQ6" i="47"/>
  <c r="CR6" i="47"/>
  <c r="CV6" i="47"/>
  <c r="CW6" i="47"/>
  <c r="DA6" i="47"/>
  <c r="DB6" i="47"/>
  <c r="DF6" i="47"/>
  <c r="DH6" i="47"/>
  <c r="DK6" i="47"/>
  <c r="DM6" i="47"/>
  <c r="DQ6" i="47"/>
  <c r="DR6" i="47"/>
  <c r="DV6" i="47"/>
  <c r="DZ6" i="47"/>
  <c r="EA6" i="47"/>
  <c r="CM38" i="47"/>
  <c r="CN38" i="47"/>
  <c r="CS37" i="47"/>
  <c r="O30" i="47"/>
  <c r="O33" i="47"/>
  <c r="Q32" i="47"/>
  <c r="Q33" i="47"/>
  <c r="R31" i="47"/>
  <c r="R32" i="47"/>
  <c r="S30" i="47"/>
  <c r="S31" i="47"/>
  <c r="T30" i="47"/>
  <c r="T33" i="47"/>
  <c r="Y32" i="47"/>
  <c r="Y33" i="47"/>
  <c r="Z31" i="47"/>
  <c r="Z32" i="47"/>
  <c r="AB30" i="47"/>
  <c r="AB31" i="47"/>
  <c r="AD30" i="47"/>
  <c r="AD33" i="47"/>
  <c r="AE32" i="47"/>
  <c r="AE33" i="47"/>
  <c r="AG31" i="47"/>
  <c r="AG32" i="47"/>
  <c r="AJ30" i="47"/>
  <c r="AJ31" i="47"/>
  <c r="AK30" i="47"/>
  <c r="AK33" i="47"/>
  <c r="AL32" i="47"/>
  <c r="AL33" i="47"/>
  <c r="AW31" i="47"/>
  <c r="AW32" i="47"/>
  <c r="AX30" i="47"/>
  <c r="AX31" i="47"/>
  <c r="AY30" i="47"/>
  <c r="AY33" i="47"/>
  <c r="AZ32" i="47"/>
  <c r="AZ33" i="47"/>
  <c r="BB31" i="47"/>
  <c r="BB32" i="47"/>
  <c r="BC30" i="47"/>
  <c r="BC31" i="47"/>
  <c r="BD30" i="47"/>
  <c r="BD33" i="47"/>
  <c r="BE32" i="47"/>
  <c r="BE33" i="47"/>
  <c r="BF31" i="47"/>
  <c r="BG30" i="47"/>
  <c r="BG31" i="47"/>
  <c r="BH30" i="47"/>
  <c r="BH33" i="47"/>
  <c r="BJ32" i="47"/>
  <c r="BJ33" i="47"/>
  <c r="BK31" i="47"/>
  <c r="BK32" i="47"/>
  <c r="BL30" i="47"/>
  <c r="BL31" i="47"/>
  <c r="BM30" i="47"/>
  <c r="BM33" i="47"/>
  <c r="BO32" i="47"/>
  <c r="BO33" i="47"/>
  <c r="BP31" i="47"/>
  <c r="BP32" i="47"/>
  <c r="BQ30" i="47"/>
  <c r="BQ31" i="47"/>
  <c r="BR30" i="47"/>
  <c r="BR33" i="47"/>
  <c r="BS32" i="47"/>
  <c r="BS33" i="47"/>
  <c r="BT31" i="47"/>
  <c r="BT32" i="47"/>
  <c r="BU30" i="47"/>
  <c r="BU31" i="47"/>
  <c r="CM7" i="47"/>
  <c r="CQ7" i="47"/>
  <c r="CR7" i="47"/>
  <c r="CV7" i="47"/>
  <c r="CW7" i="47"/>
  <c r="DA7" i="47"/>
  <c r="DB7" i="47"/>
  <c r="DF7" i="47"/>
  <c r="DH7" i="47"/>
  <c r="DK7" i="47"/>
  <c r="DM7" i="47"/>
  <c r="DQ7" i="47"/>
  <c r="DR7" i="47"/>
  <c r="DV7" i="47"/>
  <c r="DZ7" i="47"/>
  <c r="EA7" i="47"/>
  <c r="CM39" i="47"/>
  <c r="CN39" i="47"/>
  <c r="CS38" i="47"/>
  <c r="O35" i="47"/>
  <c r="O37" i="47"/>
  <c r="O38" i="47"/>
  <c r="Q36" i="47"/>
  <c r="Q37" i="47"/>
  <c r="Q38" i="47"/>
  <c r="R35" i="47"/>
  <c r="R36" i="47"/>
  <c r="R37" i="47"/>
  <c r="S35" i="47"/>
  <c r="S36" i="47"/>
  <c r="S38" i="47"/>
  <c r="T35" i="47"/>
  <c r="T37" i="47"/>
  <c r="T38" i="47"/>
  <c r="Y36" i="47"/>
  <c r="Y37" i="47"/>
  <c r="Y38" i="47"/>
  <c r="Z35" i="47"/>
  <c r="Z36" i="47"/>
  <c r="Z37" i="47"/>
  <c r="AB35" i="47"/>
  <c r="AB36" i="47"/>
  <c r="AB38" i="47"/>
  <c r="AD35" i="47"/>
  <c r="AD37" i="47"/>
  <c r="AD38" i="47"/>
  <c r="AE36" i="47"/>
  <c r="AE37" i="47"/>
  <c r="AE38" i="47"/>
  <c r="AG35" i="47"/>
  <c r="AG36" i="47"/>
  <c r="AG37" i="47"/>
  <c r="AJ35" i="47"/>
  <c r="AJ36" i="47"/>
  <c r="AJ38" i="47"/>
  <c r="AK35" i="47"/>
  <c r="AK37" i="47"/>
  <c r="AK38" i="47"/>
  <c r="AL36" i="47"/>
  <c r="AL37" i="47"/>
  <c r="AL38" i="47"/>
  <c r="AW35" i="47"/>
  <c r="AW36" i="47"/>
  <c r="AW37" i="47"/>
  <c r="AX35" i="47"/>
  <c r="AX36" i="47"/>
  <c r="AX38" i="47"/>
  <c r="AY35" i="47"/>
  <c r="AY37" i="47"/>
  <c r="AY38" i="47"/>
  <c r="AZ36" i="47"/>
  <c r="AZ37" i="47"/>
  <c r="AZ38" i="47"/>
  <c r="BB35" i="47"/>
  <c r="BB36" i="47"/>
  <c r="BB37" i="47"/>
  <c r="BC35" i="47"/>
  <c r="BC36" i="47"/>
  <c r="BC38" i="47"/>
  <c r="BD35" i="47"/>
  <c r="BD37" i="47"/>
  <c r="BD38" i="47"/>
  <c r="BE36" i="47"/>
  <c r="BE37" i="47"/>
  <c r="BE38" i="47"/>
  <c r="BF35" i="47"/>
  <c r="BF36" i="47"/>
  <c r="BF37" i="47"/>
  <c r="BG35" i="47"/>
  <c r="BG36" i="47"/>
  <c r="BG38" i="47"/>
  <c r="BH35" i="47"/>
  <c r="BH37" i="47"/>
  <c r="BH38" i="47"/>
  <c r="BJ36" i="47"/>
  <c r="BJ37" i="47"/>
  <c r="BJ38" i="47"/>
  <c r="BK35" i="47"/>
  <c r="BK36" i="47"/>
  <c r="BK37" i="47"/>
  <c r="BL35" i="47"/>
  <c r="BL36" i="47"/>
  <c r="BL38" i="47"/>
  <c r="BM35" i="47"/>
  <c r="BM37" i="47"/>
  <c r="BM38" i="47"/>
  <c r="BO37" i="47"/>
  <c r="BO38" i="47"/>
  <c r="BP35" i="47"/>
  <c r="BP36" i="47"/>
  <c r="BP37" i="47"/>
  <c r="BQ35" i="47"/>
  <c r="BQ36" i="47"/>
  <c r="BQ38" i="47"/>
  <c r="BR35" i="47"/>
  <c r="BR37" i="47"/>
  <c r="BR38" i="47"/>
  <c r="BS36" i="47"/>
  <c r="BS37" i="47"/>
  <c r="BS38" i="47"/>
  <c r="BT35" i="47"/>
  <c r="BT36" i="47"/>
  <c r="BT37" i="47"/>
  <c r="BU35" i="47"/>
  <c r="BU36" i="47"/>
  <c r="BU38" i="47"/>
  <c r="CM8" i="47"/>
  <c r="CN8" i="47"/>
  <c r="CO8" i="47"/>
  <c r="CR8" i="47"/>
  <c r="CS8" i="47"/>
  <c r="CU8" i="47"/>
  <c r="CW8" i="47"/>
  <c r="CX8" i="47"/>
  <c r="CZ8" i="47"/>
  <c r="DB8" i="47"/>
  <c r="DD8" i="47"/>
  <c r="DE8" i="47"/>
  <c r="DH8" i="47"/>
  <c r="DI8" i="47"/>
  <c r="DJ8" i="47"/>
  <c r="DM8" i="47"/>
  <c r="DN8" i="47"/>
  <c r="DO8" i="47"/>
  <c r="DR8" i="47"/>
  <c r="DS8" i="47"/>
  <c r="DY8" i="47"/>
  <c r="EA8" i="47"/>
  <c r="CM40" i="47"/>
  <c r="CN40" i="47"/>
  <c r="CQ40" i="47"/>
  <c r="CS39" i="47"/>
  <c r="O40" i="47"/>
  <c r="O42" i="47"/>
  <c r="O43" i="47"/>
  <c r="Q41" i="47"/>
  <c r="Q43" i="47"/>
  <c r="R40" i="47"/>
  <c r="R41" i="47"/>
  <c r="R42" i="47"/>
  <c r="S40" i="47"/>
  <c r="S41" i="47"/>
  <c r="S43" i="47"/>
  <c r="T40" i="47"/>
  <c r="T43" i="47"/>
  <c r="Y41" i="47"/>
  <c r="Y42" i="47"/>
  <c r="Y43" i="47"/>
  <c r="Z41" i="47"/>
  <c r="Z42" i="47"/>
  <c r="AB40" i="47"/>
  <c r="AB43" i="47"/>
  <c r="AD40" i="47"/>
  <c r="AD43" i="47"/>
  <c r="AE41" i="47"/>
  <c r="AE42" i="47"/>
  <c r="AE43" i="47"/>
  <c r="AG40" i="47"/>
  <c r="AG41" i="47"/>
  <c r="AJ40" i="47"/>
  <c r="AJ41" i="47"/>
  <c r="AK40" i="47"/>
  <c r="AK42" i="47"/>
  <c r="AK43" i="47"/>
  <c r="AL41" i="47"/>
  <c r="AL42" i="47"/>
  <c r="AL43" i="47"/>
  <c r="AW40" i="47"/>
  <c r="AW41" i="47"/>
  <c r="AW42" i="47"/>
  <c r="AX40" i="47"/>
  <c r="AX41" i="47"/>
  <c r="AX43" i="47"/>
  <c r="AY40" i="47"/>
  <c r="AY42" i="47"/>
  <c r="AY43" i="47"/>
  <c r="AZ41" i="47"/>
  <c r="AZ42" i="47"/>
  <c r="AZ43" i="47"/>
  <c r="BB40" i="47"/>
  <c r="BB41" i="47"/>
  <c r="BB42" i="47"/>
  <c r="BC40" i="47"/>
  <c r="BC41" i="47"/>
  <c r="BC43" i="47"/>
  <c r="BD40" i="47"/>
  <c r="BD42" i="47"/>
  <c r="BD43" i="47"/>
  <c r="BE41" i="47"/>
  <c r="BE42" i="47"/>
  <c r="BE43" i="47"/>
  <c r="BF40" i="47"/>
  <c r="BF41" i="47"/>
  <c r="BG40" i="47"/>
  <c r="BG41" i="47"/>
  <c r="BG43" i="47"/>
  <c r="BH40" i="47"/>
  <c r="BH42" i="47"/>
  <c r="BH43" i="47"/>
  <c r="BJ41" i="47"/>
  <c r="BJ42" i="47"/>
  <c r="BJ43" i="47"/>
  <c r="BK40" i="47"/>
  <c r="BK41" i="47"/>
  <c r="BK42" i="47"/>
  <c r="BL40" i="47"/>
  <c r="BL41" i="47"/>
  <c r="BL43" i="47"/>
  <c r="BM40" i="47"/>
  <c r="BM42" i="47"/>
  <c r="BM43" i="47"/>
  <c r="BO41" i="47"/>
  <c r="BO42" i="47"/>
  <c r="BO43" i="47"/>
  <c r="BP40" i="47"/>
  <c r="BP41" i="47"/>
  <c r="BP42" i="47"/>
  <c r="BQ40" i="47"/>
  <c r="BQ41" i="47"/>
  <c r="BQ43" i="47"/>
  <c r="BR40" i="47"/>
  <c r="BR42" i="47"/>
  <c r="BR43" i="47"/>
  <c r="BS41" i="47"/>
  <c r="BS42" i="47"/>
  <c r="BS43" i="47"/>
  <c r="BT40" i="47"/>
  <c r="BT41" i="47"/>
  <c r="BT42" i="47"/>
  <c r="BU40" i="47"/>
  <c r="BU41" i="47"/>
  <c r="BU43" i="47"/>
  <c r="CM9" i="47"/>
  <c r="CN9" i="47"/>
  <c r="CO9" i="47"/>
  <c r="CR9" i="47"/>
  <c r="CS9" i="47"/>
  <c r="CU9" i="47"/>
  <c r="CW9" i="47"/>
  <c r="CX9" i="47"/>
  <c r="CZ9" i="47"/>
  <c r="DB9" i="47"/>
  <c r="DD9" i="47"/>
  <c r="DE9" i="47"/>
  <c r="DH9" i="47"/>
  <c r="DI9" i="47"/>
  <c r="DJ9" i="47"/>
  <c r="DM9" i="47"/>
  <c r="DN9" i="47"/>
  <c r="DO9" i="47"/>
  <c r="DR9" i="47"/>
  <c r="DS9" i="47"/>
  <c r="DY9" i="47"/>
  <c r="EA9" i="47"/>
  <c r="CM41" i="47"/>
  <c r="CN41" i="47"/>
  <c r="CQ41" i="47"/>
  <c r="CS40" i="47"/>
  <c r="F10" i="47"/>
  <c r="F11" i="47" s="1"/>
  <c r="O45" i="47"/>
  <c r="O47" i="47"/>
  <c r="O48" i="47"/>
  <c r="Q48" i="47"/>
  <c r="R45" i="47"/>
  <c r="R46" i="47"/>
  <c r="R47" i="47"/>
  <c r="S45" i="47"/>
  <c r="S46" i="47"/>
  <c r="S48" i="47"/>
  <c r="T45" i="47"/>
  <c r="T47" i="47"/>
  <c r="T48" i="47"/>
  <c r="Y46" i="47"/>
  <c r="Y47" i="47"/>
  <c r="Y48" i="47"/>
  <c r="Z45" i="47"/>
  <c r="Z46" i="47"/>
  <c r="Z47" i="47"/>
  <c r="AB45" i="47"/>
  <c r="AB48" i="47"/>
  <c r="AD45" i="47"/>
  <c r="AD47" i="47"/>
  <c r="AD48" i="47"/>
  <c r="AE46" i="47"/>
  <c r="AE47" i="47"/>
  <c r="AE48" i="47"/>
  <c r="AG45" i="47"/>
  <c r="AG47" i="47"/>
  <c r="AJ45" i="47"/>
  <c r="AJ46" i="47"/>
  <c r="AJ48" i="47"/>
  <c r="AK45" i="47"/>
  <c r="AK47" i="47"/>
  <c r="AK48" i="47"/>
  <c r="AL46" i="47"/>
  <c r="AL47" i="47"/>
  <c r="AL48" i="47"/>
  <c r="AW45" i="47"/>
  <c r="AW46" i="47"/>
  <c r="AW47" i="47"/>
  <c r="AX45" i="47"/>
  <c r="AX46" i="47"/>
  <c r="AX48" i="47"/>
  <c r="AY45" i="47"/>
  <c r="AY47" i="47"/>
  <c r="AY48" i="47"/>
  <c r="AZ46" i="47"/>
  <c r="AZ47" i="47"/>
  <c r="AZ48" i="47"/>
  <c r="BB45" i="47"/>
  <c r="BB46" i="47"/>
  <c r="BB47" i="47"/>
  <c r="BC45" i="47"/>
  <c r="BC46" i="47"/>
  <c r="BC48" i="47"/>
  <c r="BD45" i="47"/>
  <c r="BD47" i="47"/>
  <c r="BD48" i="47"/>
  <c r="BE46" i="47"/>
  <c r="BE47" i="47"/>
  <c r="BE48" i="47"/>
  <c r="BG45" i="47"/>
  <c r="BG46" i="47"/>
  <c r="BG48" i="47"/>
  <c r="BH45" i="47"/>
  <c r="BH47" i="47"/>
  <c r="BH48" i="47"/>
  <c r="BJ46" i="47"/>
  <c r="BJ47" i="47"/>
  <c r="BJ48" i="47"/>
  <c r="BK45" i="47"/>
  <c r="BK46" i="47"/>
  <c r="BK47" i="47"/>
  <c r="BL45" i="47"/>
  <c r="BL46" i="47"/>
  <c r="BL48" i="47"/>
  <c r="BM45" i="47"/>
  <c r="BM47" i="47"/>
  <c r="BM48" i="47"/>
  <c r="BO46" i="47"/>
  <c r="BO47" i="47"/>
  <c r="BO48" i="47"/>
  <c r="BP45" i="47"/>
  <c r="BP46" i="47"/>
  <c r="BP47" i="47"/>
  <c r="BQ45" i="47"/>
  <c r="BQ46" i="47"/>
  <c r="BQ48" i="47"/>
  <c r="BR45" i="47"/>
  <c r="BR47" i="47"/>
  <c r="BR48" i="47"/>
  <c r="BS46" i="47"/>
  <c r="BS48" i="47"/>
  <c r="BT45" i="47"/>
  <c r="BT46" i="47"/>
  <c r="BT47" i="47"/>
  <c r="BU45" i="47"/>
  <c r="BU46" i="47"/>
  <c r="BU48" i="47"/>
  <c r="CM10" i="47"/>
  <c r="CN10" i="47"/>
  <c r="CO10" i="47"/>
  <c r="CR10" i="47"/>
  <c r="CS10" i="47"/>
  <c r="CU10" i="47"/>
  <c r="CW10" i="47"/>
  <c r="CX10" i="47"/>
  <c r="CZ10" i="47"/>
  <c r="DB10" i="47"/>
  <c r="DD10" i="47"/>
  <c r="DE10" i="47"/>
  <c r="DH10" i="47"/>
  <c r="DI10" i="47"/>
  <c r="DJ10" i="47"/>
  <c r="DM10" i="47"/>
  <c r="DN10" i="47"/>
  <c r="DO10" i="47"/>
  <c r="DR10" i="47"/>
  <c r="DS10" i="47"/>
  <c r="DY10" i="47"/>
  <c r="EA10" i="47"/>
  <c r="CM42" i="47"/>
  <c r="CN42" i="47"/>
  <c r="CQ42" i="47"/>
  <c r="CS41" i="47"/>
  <c r="O50" i="47"/>
  <c r="O52" i="47"/>
  <c r="O53" i="47"/>
  <c r="R50" i="47"/>
  <c r="R51" i="47"/>
  <c r="R52" i="47"/>
  <c r="S50" i="47"/>
  <c r="S51" i="47"/>
  <c r="S53" i="47"/>
  <c r="T50" i="47"/>
  <c r="T52" i="47"/>
  <c r="T53" i="47"/>
  <c r="Y51" i="47"/>
  <c r="Y52" i="47"/>
  <c r="Y53" i="47"/>
  <c r="Z50" i="47"/>
  <c r="Z51" i="47"/>
  <c r="Z52" i="47"/>
  <c r="AB50" i="47"/>
  <c r="AB51" i="47"/>
  <c r="AD50" i="47"/>
  <c r="AD52" i="47"/>
  <c r="AD53" i="47"/>
  <c r="AE51" i="47"/>
  <c r="AE52" i="47"/>
  <c r="AE53" i="47"/>
  <c r="AG50" i="47"/>
  <c r="AG51" i="47"/>
  <c r="AJ50" i="47"/>
  <c r="AJ51" i="47"/>
  <c r="AJ53" i="47"/>
  <c r="AK50" i="47"/>
  <c r="AK52" i="47"/>
  <c r="AK53" i="47"/>
  <c r="AL51" i="47"/>
  <c r="AL52" i="47"/>
  <c r="AL53" i="47"/>
  <c r="AW50" i="47"/>
  <c r="AW51" i="47"/>
  <c r="AW52" i="47"/>
  <c r="AX50" i="47"/>
  <c r="AX51" i="47"/>
  <c r="AX53" i="47"/>
  <c r="AY50" i="47"/>
  <c r="AY52" i="47"/>
  <c r="AY53" i="47"/>
  <c r="AZ51" i="47"/>
  <c r="AZ52" i="47"/>
  <c r="AZ53" i="47"/>
  <c r="BB50" i="47"/>
  <c r="BB51" i="47"/>
  <c r="BB52" i="47"/>
  <c r="BC50" i="47"/>
  <c r="BC51" i="47"/>
  <c r="BC53" i="47"/>
  <c r="BD50" i="47"/>
  <c r="BD52" i="47"/>
  <c r="BD53" i="47"/>
  <c r="BE51" i="47"/>
  <c r="BE52" i="47"/>
  <c r="BE53" i="47"/>
  <c r="BF50" i="47"/>
  <c r="BF51" i="47"/>
  <c r="BF52" i="47"/>
  <c r="BG50" i="47"/>
  <c r="BG51" i="47"/>
  <c r="BG53" i="47"/>
  <c r="BH50" i="47"/>
  <c r="BH52" i="47"/>
  <c r="BH53" i="47"/>
  <c r="BJ51" i="47"/>
  <c r="BJ52" i="47"/>
  <c r="BJ53" i="47"/>
  <c r="BK50" i="47"/>
  <c r="BK51" i="47"/>
  <c r="BK52" i="47"/>
  <c r="BL50" i="47"/>
  <c r="BL51" i="47"/>
  <c r="BL53" i="47"/>
  <c r="BM50" i="47"/>
  <c r="BM52" i="47"/>
  <c r="BM53" i="47"/>
  <c r="BO51" i="47"/>
  <c r="BO52" i="47"/>
  <c r="BO53" i="47"/>
  <c r="BP50" i="47"/>
  <c r="BP51" i="47"/>
  <c r="BP52" i="47"/>
  <c r="BQ50" i="47"/>
  <c r="BQ51" i="47"/>
  <c r="BQ53" i="47"/>
  <c r="BR50" i="47"/>
  <c r="BR52" i="47"/>
  <c r="BR53" i="47"/>
  <c r="BS51" i="47"/>
  <c r="BT50" i="47"/>
  <c r="BT51" i="47"/>
  <c r="BT52" i="47"/>
  <c r="BU50" i="47"/>
  <c r="BU51" i="47"/>
  <c r="BU53" i="47"/>
  <c r="CM11" i="47"/>
  <c r="CN11" i="47"/>
  <c r="CO11" i="47"/>
  <c r="CR11" i="47"/>
  <c r="CS11" i="47"/>
  <c r="CU11" i="47"/>
  <c r="CW11" i="47"/>
  <c r="CX11" i="47"/>
  <c r="CZ11" i="47"/>
  <c r="DB11" i="47"/>
  <c r="DD11" i="47"/>
  <c r="DE11" i="47"/>
  <c r="DH11" i="47"/>
  <c r="DI11" i="47"/>
  <c r="DJ11" i="47"/>
  <c r="DM11" i="47"/>
  <c r="DN11" i="47"/>
  <c r="DO11" i="47"/>
  <c r="DR11" i="47"/>
  <c r="DS11" i="47"/>
  <c r="DY11" i="47"/>
  <c r="EA11" i="47"/>
  <c r="CM43" i="47"/>
  <c r="CN43" i="47"/>
  <c r="CQ43" i="47"/>
  <c r="CS42" i="47"/>
  <c r="F12" i="47"/>
  <c r="O55" i="47"/>
  <c r="O57" i="47"/>
  <c r="O58" i="47"/>
  <c r="R55" i="47"/>
  <c r="R57" i="47"/>
  <c r="S55" i="47"/>
  <c r="S56" i="47"/>
  <c r="S58" i="47"/>
  <c r="T55" i="47"/>
  <c r="T57" i="47"/>
  <c r="T58" i="47"/>
  <c r="Y57" i="47"/>
  <c r="Z55" i="47"/>
  <c r="Z56" i="47"/>
  <c r="Z57" i="47"/>
  <c r="AB56" i="47"/>
  <c r="AB58" i="47"/>
  <c r="AD55" i="47"/>
  <c r="AD57" i="47"/>
  <c r="AE56" i="47"/>
  <c r="AE57" i="47"/>
  <c r="AE58" i="47"/>
  <c r="AG55" i="47"/>
  <c r="AG57" i="47"/>
  <c r="AJ55" i="47"/>
  <c r="AJ56" i="47"/>
  <c r="AJ58" i="47"/>
  <c r="AK55" i="47"/>
  <c r="AK57" i="47"/>
  <c r="AK58" i="47"/>
  <c r="AL56" i="47"/>
  <c r="AL57" i="47"/>
  <c r="AL58" i="47"/>
  <c r="AW55" i="47"/>
  <c r="AW56" i="47"/>
  <c r="AW57" i="47"/>
  <c r="AX55" i="47"/>
  <c r="AX56" i="47"/>
  <c r="AX58" i="47"/>
  <c r="AY55" i="47"/>
  <c r="AY57" i="47"/>
  <c r="AY58" i="47"/>
  <c r="AZ56" i="47"/>
  <c r="AZ57" i="47"/>
  <c r="AZ58" i="47"/>
  <c r="BB55" i="47"/>
  <c r="BB56" i="47"/>
  <c r="BB57" i="47"/>
  <c r="BC55" i="47"/>
  <c r="BC56" i="47"/>
  <c r="BC58" i="47"/>
  <c r="BD55" i="47"/>
  <c r="BD57" i="47"/>
  <c r="BD58" i="47"/>
  <c r="BE56" i="47"/>
  <c r="BE57" i="47"/>
  <c r="BE58" i="47"/>
  <c r="BF56" i="47"/>
  <c r="BF57" i="47"/>
  <c r="BF58" i="47"/>
  <c r="BG55" i="47"/>
  <c r="BG56" i="47"/>
  <c r="BG57" i="47"/>
  <c r="BG58" i="47"/>
  <c r="BH55" i="47"/>
  <c r="BH56" i="47"/>
  <c r="BH57" i="47"/>
  <c r="BH58" i="47"/>
  <c r="BJ56" i="47"/>
  <c r="BJ57" i="47"/>
  <c r="BJ58" i="47"/>
  <c r="BK55" i="47"/>
  <c r="BK56" i="47"/>
  <c r="BK57" i="47"/>
  <c r="BK58" i="47"/>
  <c r="BL55" i="47"/>
  <c r="BL56" i="47"/>
  <c r="BL57" i="47"/>
  <c r="BL58" i="47"/>
  <c r="BM55" i="47"/>
  <c r="BM56" i="47"/>
  <c r="BM57" i="47"/>
  <c r="BM58" i="47"/>
  <c r="BO56" i="47"/>
  <c r="BO57" i="47"/>
  <c r="BO58" i="47"/>
  <c r="BP55" i="47"/>
  <c r="BP56" i="47"/>
  <c r="BP57" i="47"/>
  <c r="BP58" i="47"/>
  <c r="BQ55" i="47"/>
  <c r="BQ56" i="47"/>
  <c r="BQ57" i="47"/>
  <c r="BQ58" i="47"/>
  <c r="BR55" i="47"/>
  <c r="BR56" i="47"/>
  <c r="BR57" i="47"/>
  <c r="BR58" i="47"/>
  <c r="BS56" i="47"/>
  <c r="BS57" i="47"/>
  <c r="BS58" i="47"/>
  <c r="BT55" i="47"/>
  <c r="BT56" i="47"/>
  <c r="BT57" i="47"/>
  <c r="BT58" i="47"/>
  <c r="BU55" i="47"/>
  <c r="BU56" i="47"/>
  <c r="BU57" i="47"/>
  <c r="BU58" i="47"/>
  <c r="CM12" i="47"/>
  <c r="CN12" i="47"/>
  <c r="CO12" i="47"/>
  <c r="CQ12" i="47"/>
  <c r="CR12" i="47"/>
  <c r="CS12" i="47"/>
  <c r="CU12" i="47"/>
  <c r="CV12" i="47"/>
  <c r="CW12" i="47"/>
  <c r="CX12" i="47"/>
  <c r="CZ12" i="47"/>
  <c r="DA12" i="47"/>
  <c r="DB12" i="47"/>
  <c r="DD12" i="47"/>
  <c r="DE12" i="47"/>
  <c r="DH12" i="47"/>
  <c r="DI12" i="47"/>
  <c r="DJ12" i="47"/>
  <c r="DK12" i="47"/>
  <c r="DM12" i="47"/>
  <c r="DN12" i="47"/>
  <c r="DO12" i="47"/>
  <c r="DQ12" i="47"/>
  <c r="DR12" i="47"/>
  <c r="DS12" i="47"/>
  <c r="DV12" i="47"/>
  <c r="DY12" i="47"/>
  <c r="DZ12" i="47"/>
  <c r="EA12" i="47"/>
  <c r="CM44" i="47"/>
  <c r="CO43" i="47"/>
  <c r="CN44" i="47"/>
  <c r="CQ44" i="47"/>
  <c r="CS43" i="47"/>
  <c r="CR44" i="47"/>
  <c r="O60" i="47"/>
  <c r="O61" i="47"/>
  <c r="O62" i="47"/>
  <c r="O63" i="47"/>
  <c r="R60" i="47"/>
  <c r="S60" i="47"/>
  <c r="S61" i="47"/>
  <c r="S63" i="47"/>
  <c r="T60" i="47"/>
  <c r="T62" i="47"/>
  <c r="T63" i="47"/>
  <c r="Z60" i="47"/>
  <c r="Z61" i="47"/>
  <c r="Z62" i="47"/>
  <c r="Z63" i="47"/>
  <c r="AB60" i="47"/>
  <c r="AB61" i="47"/>
  <c r="AB62" i="47"/>
  <c r="AB63" i="47"/>
  <c r="AD60" i="47"/>
  <c r="AE60" i="47"/>
  <c r="AE61" i="47"/>
  <c r="AE62" i="47"/>
  <c r="AE63" i="47"/>
  <c r="AJ60" i="47"/>
  <c r="AJ61" i="47"/>
  <c r="AJ62" i="47"/>
  <c r="AJ63" i="47"/>
  <c r="AK60" i="47"/>
  <c r="AK61" i="47"/>
  <c r="AK62" i="47"/>
  <c r="AK63" i="47"/>
  <c r="AL60" i="47"/>
  <c r="AL61" i="47"/>
  <c r="AL62" i="47"/>
  <c r="AL63" i="47"/>
  <c r="AW60" i="47"/>
  <c r="AW61" i="47"/>
  <c r="AW62" i="47"/>
  <c r="AX60" i="47"/>
  <c r="AX61" i="47"/>
  <c r="AX62" i="47"/>
  <c r="AX63" i="47"/>
  <c r="AY60" i="47"/>
  <c r="AY61" i="47"/>
  <c r="AY62" i="47"/>
  <c r="AY63" i="47"/>
  <c r="AZ60" i="47"/>
  <c r="AZ61" i="47"/>
  <c r="AZ62" i="47"/>
  <c r="AZ63" i="47"/>
  <c r="BB60" i="47"/>
  <c r="BB61" i="47"/>
  <c r="BB62" i="47"/>
  <c r="BB63" i="47"/>
  <c r="BC60" i="47"/>
  <c r="BC61" i="47"/>
  <c r="BC62" i="47"/>
  <c r="BC63" i="47"/>
  <c r="BD60" i="47"/>
  <c r="BD61" i="47"/>
  <c r="BD62" i="47"/>
  <c r="BD63" i="47"/>
  <c r="BE60" i="47"/>
  <c r="BE61" i="47"/>
  <c r="BE62" i="47"/>
  <c r="BE63" i="47"/>
  <c r="BF60" i="47"/>
  <c r="BF61" i="47"/>
  <c r="BF63" i="47"/>
  <c r="BG60" i="47"/>
  <c r="BG61" i="47"/>
  <c r="BG62" i="47"/>
  <c r="BG63" i="47"/>
  <c r="BH60" i="47"/>
  <c r="BH61" i="47"/>
  <c r="BH62" i="47"/>
  <c r="BH63" i="47"/>
  <c r="BJ60" i="47"/>
  <c r="BJ61" i="47"/>
  <c r="BJ62" i="47"/>
  <c r="BJ63" i="47"/>
  <c r="BK60" i="47"/>
  <c r="BK61" i="47"/>
  <c r="BK62" i="47"/>
  <c r="BK63" i="47"/>
  <c r="BL60" i="47"/>
  <c r="BL61" i="47"/>
  <c r="BL62" i="47"/>
  <c r="BL63" i="47"/>
  <c r="BM60" i="47"/>
  <c r="BM61" i="47"/>
  <c r="BM62" i="47"/>
  <c r="BM63" i="47"/>
  <c r="BO61" i="47"/>
  <c r="BO62" i="47"/>
  <c r="BO63" i="47"/>
  <c r="BP60" i="47"/>
  <c r="BP61" i="47"/>
  <c r="BP62" i="47"/>
  <c r="BP63" i="47"/>
  <c r="BQ60" i="47"/>
  <c r="BQ61" i="47"/>
  <c r="BQ62" i="47"/>
  <c r="BQ63" i="47"/>
  <c r="BR60" i="47"/>
  <c r="BR61" i="47"/>
  <c r="BR62" i="47"/>
  <c r="BR63" i="47"/>
  <c r="BS60" i="47"/>
  <c r="BS61" i="47"/>
  <c r="BS62" i="47"/>
  <c r="BS63" i="47"/>
  <c r="BT60" i="47"/>
  <c r="BT61" i="47"/>
  <c r="BT62" i="47"/>
  <c r="BT63" i="47"/>
  <c r="BU60" i="47"/>
  <c r="BU61" i="47"/>
  <c r="BU62" i="47"/>
  <c r="BU63" i="47"/>
  <c r="CM13" i="47"/>
  <c r="CN13" i="47"/>
  <c r="CO13" i="47"/>
  <c r="CQ13" i="47"/>
  <c r="CR13" i="47"/>
  <c r="CS13" i="47"/>
  <c r="CU13" i="47"/>
  <c r="CV13" i="47"/>
  <c r="CW13" i="47"/>
  <c r="CX13" i="47"/>
  <c r="CZ13" i="47"/>
  <c r="DA13" i="47"/>
  <c r="DB13" i="47"/>
  <c r="DD13" i="47"/>
  <c r="DE13" i="47"/>
  <c r="DH13" i="47"/>
  <c r="DI13" i="47"/>
  <c r="DJ13" i="47"/>
  <c r="DK13" i="47"/>
  <c r="DM13" i="47"/>
  <c r="DN13" i="47"/>
  <c r="DO13" i="47"/>
  <c r="DQ13" i="47"/>
  <c r="DR13" i="47"/>
  <c r="DS13" i="47"/>
  <c r="DV13" i="47"/>
  <c r="DY13" i="47"/>
  <c r="DZ13" i="47"/>
  <c r="EA13" i="47"/>
  <c r="CM14" i="47"/>
  <c r="CN14" i="47"/>
  <c r="CO14" i="47"/>
  <c r="CQ14" i="47"/>
  <c r="CR14" i="47"/>
  <c r="CS14" i="47"/>
  <c r="CU14" i="47"/>
  <c r="CV14" i="47"/>
  <c r="CW14" i="47"/>
  <c r="CX14" i="47"/>
  <c r="CZ14" i="47"/>
  <c r="DA14" i="47"/>
  <c r="DB14" i="47"/>
  <c r="DD14" i="47"/>
  <c r="DE14" i="47"/>
  <c r="DF14" i="47"/>
  <c r="DH14" i="47"/>
  <c r="DI14" i="47"/>
  <c r="DJ14" i="47"/>
  <c r="DK14" i="47"/>
  <c r="DM14" i="47"/>
  <c r="DN14" i="47"/>
  <c r="DO14" i="47"/>
  <c r="DQ14" i="47"/>
  <c r="DR14" i="47"/>
  <c r="DS14" i="47"/>
  <c r="DV14" i="47"/>
  <c r="DY14" i="47"/>
  <c r="DZ14" i="47"/>
  <c r="EA14" i="47"/>
  <c r="U15" i="47"/>
  <c r="V15" i="47"/>
  <c r="W15" i="47"/>
  <c r="AA15" i="47"/>
  <c r="AC15" i="47"/>
  <c r="AF15" i="47"/>
  <c r="AH15" i="47"/>
  <c r="BY15" i="47"/>
  <c r="CM15" i="47"/>
  <c r="CN15" i="47"/>
  <c r="CO15" i="47"/>
  <c r="CQ15" i="47"/>
  <c r="CR15" i="47"/>
  <c r="CS15" i="47"/>
  <c r="CU15" i="47"/>
  <c r="CV15" i="47"/>
  <c r="CW15" i="47"/>
  <c r="CX15" i="47"/>
  <c r="CZ15" i="47"/>
  <c r="DA15" i="47"/>
  <c r="DB15" i="47"/>
  <c r="DD15" i="47"/>
  <c r="DE15" i="47"/>
  <c r="DF15" i="47"/>
  <c r="DH15" i="47"/>
  <c r="DI15" i="47"/>
  <c r="DJ15" i="47"/>
  <c r="DK15" i="47"/>
  <c r="DM15" i="47"/>
  <c r="DN15" i="47"/>
  <c r="DO15" i="47"/>
  <c r="DQ15" i="47"/>
  <c r="DR15" i="47"/>
  <c r="DS15" i="47"/>
  <c r="DV15" i="47"/>
  <c r="DY15" i="47"/>
  <c r="DZ15" i="47"/>
  <c r="EA15" i="47"/>
  <c r="CM32" i="47"/>
  <c r="CO32" i="47"/>
  <c r="CN32" i="47"/>
  <c r="CQ32" i="47"/>
  <c r="CS32" i="47"/>
  <c r="CR32" i="47"/>
  <c r="U16" i="47"/>
  <c r="V16" i="47"/>
  <c r="W16" i="47"/>
  <c r="AA16" i="47"/>
  <c r="AC16" i="47"/>
  <c r="AF16" i="47"/>
  <c r="AH16" i="47"/>
  <c r="BY16" i="47"/>
  <c r="CM16" i="47"/>
  <c r="CN16" i="47"/>
  <c r="CO16" i="47"/>
  <c r="CQ16" i="47"/>
  <c r="CR16" i="47"/>
  <c r="CS16" i="47"/>
  <c r="CU16" i="47"/>
  <c r="CV16" i="47"/>
  <c r="CW16" i="47"/>
  <c r="CX16" i="47"/>
  <c r="CZ16" i="47"/>
  <c r="DA16" i="47"/>
  <c r="DB16" i="47"/>
  <c r="DD16" i="47"/>
  <c r="DE16" i="47"/>
  <c r="DF16" i="47"/>
  <c r="DH16" i="47"/>
  <c r="DI16" i="47"/>
  <c r="DJ16" i="47"/>
  <c r="DK16" i="47"/>
  <c r="DM16" i="47"/>
  <c r="DN16" i="47"/>
  <c r="DO16" i="47"/>
  <c r="DQ16" i="47"/>
  <c r="DR16" i="47"/>
  <c r="DS16" i="47"/>
  <c r="DV16" i="47"/>
  <c r="DY16" i="47"/>
  <c r="DZ16" i="47"/>
  <c r="EA16" i="47"/>
  <c r="CM33" i="47"/>
  <c r="CO33" i="47"/>
  <c r="CN33" i="47"/>
  <c r="CQ33" i="47"/>
  <c r="CS33" i="47"/>
  <c r="CR33" i="47"/>
  <c r="U17" i="47"/>
  <c r="V17" i="47"/>
  <c r="W17" i="47"/>
  <c r="AA17" i="47"/>
  <c r="AC17" i="47"/>
  <c r="AF17" i="47"/>
  <c r="AH17" i="47"/>
  <c r="CM17" i="47"/>
  <c r="CN17" i="47"/>
  <c r="CO17" i="47"/>
  <c r="CQ17" i="47"/>
  <c r="CR17" i="47"/>
  <c r="CS17" i="47"/>
  <c r="CU17" i="47"/>
  <c r="CV17" i="47"/>
  <c r="CW17" i="47"/>
  <c r="CX17" i="47"/>
  <c r="CZ17" i="47"/>
  <c r="DA17" i="47"/>
  <c r="DB17" i="47"/>
  <c r="DD17" i="47"/>
  <c r="DE17" i="47"/>
  <c r="DF17" i="47"/>
  <c r="DH17" i="47"/>
  <c r="DI17" i="47"/>
  <c r="DJ17" i="47"/>
  <c r="DK17" i="47"/>
  <c r="DM17" i="47"/>
  <c r="DN17" i="47"/>
  <c r="DO17" i="47"/>
  <c r="DQ17" i="47"/>
  <c r="DR17" i="47"/>
  <c r="DS17" i="47"/>
  <c r="DV17" i="47"/>
  <c r="DY17" i="47"/>
  <c r="DZ17" i="47"/>
  <c r="EA17" i="47"/>
  <c r="CM34" i="47"/>
  <c r="CO34" i="47"/>
  <c r="CN34" i="47"/>
  <c r="CQ34" i="47"/>
  <c r="CS34" i="47"/>
  <c r="CR34" i="47"/>
  <c r="U18" i="47"/>
  <c r="V18" i="47"/>
  <c r="W18" i="47"/>
  <c r="AA18" i="47"/>
  <c r="AC18" i="47"/>
  <c r="AF18" i="47"/>
  <c r="AH18" i="47"/>
  <c r="BY18" i="47"/>
  <c r="CM18" i="47"/>
  <c r="CN18" i="47"/>
  <c r="CO18" i="47"/>
  <c r="CQ18" i="47"/>
  <c r="CR18" i="47"/>
  <c r="CS18" i="47"/>
  <c r="CU18" i="47"/>
  <c r="CV18" i="47"/>
  <c r="CW18" i="47"/>
  <c r="CX18" i="47"/>
  <c r="CZ18" i="47"/>
  <c r="DA18" i="47"/>
  <c r="DB18" i="47"/>
  <c r="DD18" i="47"/>
  <c r="DE18" i="47"/>
  <c r="DF18" i="47"/>
  <c r="DH18" i="47"/>
  <c r="DI18" i="47"/>
  <c r="DJ18" i="47"/>
  <c r="DK18" i="47"/>
  <c r="DM18" i="47"/>
  <c r="DN18" i="47"/>
  <c r="DO18" i="47"/>
  <c r="DQ18" i="47"/>
  <c r="DR18" i="47"/>
  <c r="DS18" i="47"/>
  <c r="DV18" i="47"/>
  <c r="DY18" i="47"/>
  <c r="DZ18" i="47"/>
  <c r="EA18" i="47"/>
  <c r="CM19" i="47"/>
  <c r="CN19" i="47"/>
  <c r="CO19" i="47"/>
  <c r="CQ19" i="47"/>
  <c r="CR19" i="47"/>
  <c r="CS19" i="47"/>
  <c r="CU19" i="47"/>
  <c r="CV19" i="47"/>
  <c r="CW19" i="47"/>
  <c r="CX19" i="47"/>
  <c r="CZ19" i="47"/>
  <c r="DA19" i="47"/>
  <c r="DB19" i="47"/>
  <c r="DD19" i="47"/>
  <c r="DE19" i="47"/>
  <c r="DF19" i="47"/>
  <c r="DH19" i="47"/>
  <c r="DI19" i="47"/>
  <c r="DJ19" i="47"/>
  <c r="DK19" i="47"/>
  <c r="DM19" i="47"/>
  <c r="DN19" i="47"/>
  <c r="DO19" i="47"/>
  <c r="DQ19" i="47"/>
  <c r="DR19" i="47"/>
  <c r="DS19" i="47"/>
  <c r="DV19" i="47"/>
  <c r="DY19" i="47"/>
  <c r="DZ19" i="47"/>
  <c r="EA19" i="47"/>
  <c r="U20" i="47"/>
  <c r="V20" i="47"/>
  <c r="W20" i="47"/>
  <c r="AA20" i="47"/>
  <c r="AC20" i="47"/>
  <c r="AF20" i="47"/>
  <c r="AH20" i="47"/>
  <c r="BY20" i="47"/>
  <c r="CM20" i="47"/>
  <c r="CN20" i="47"/>
  <c r="CO20" i="47"/>
  <c r="CQ20" i="47"/>
  <c r="CR20" i="47"/>
  <c r="CS20" i="47"/>
  <c r="CU20" i="47"/>
  <c r="CV20" i="47"/>
  <c r="CW20" i="47"/>
  <c r="CX20" i="47"/>
  <c r="CZ20" i="47"/>
  <c r="DA20" i="47"/>
  <c r="DB20" i="47"/>
  <c r="DD20" i="47"/>
  <c r="DE20" i="47"/>
  <c r="DF20" i="47"/>
  <c r="DH20" i="47"/>
  <c r="DI20" i="47"/>
  <c r="DJ20" i="47"/>
  <c r="DK20" i="47"/>
  <c r="DM20" i="47"/>
  <c r="DN20" i="47"/>
  <c r="DO20" i="47"/>
  <c r="DQ20" i="47"/>
  <c r="DR20" i="47"/>
  <c r="DS20" i="47"/>
  <c r="DV20" i="47"/>
  <c r="DY20" i="47"/>
  <c r="DZ20" i="47"/>
  <c r="EA20" i="47"/>
  <c r="U21" i="47"/>
  <c r="V21" i="47"/>
  <c r="W21" i="47"/>
  <c r="AA21" i="47"/>
  <c r="AC21" i="47"/>
  <c r="AF21" i="47"/>
  <c r="AH21" i="47"/>
  <c r="CM21" i="47"/>
  <c r="CN21" i="47"/>
  <c r="CO21" i="47"/>
  <c r="CQ21" i="47"/>
  <c r="CR21" i="47"/>
  <c r="CS21" i="47"/>
  <c r="CU21" i="47"/>
  <c r="CV21" i="47"/>
  <c r="CW21" i="47"/>
  <c r="CX21" i="47"/>
  <c r="CZ21" i="47"/>
  <c r="DA21" i="47"/>
  <c r="DB21" i="47"/>
  <c r="DD21" i="47"/>
  <c r="DE21" i="47"/>
  <c r="DF21" i="47"/>
  <c r="DH21" i="47"/>
  <c r="DI21" i="47"/>
  <c r="DJ21" i="47"/>
  <c r="DK21" i="47"/>
  <c r="DM21" i="47"/>
  <c r="DN21" i="47"/>
  <c r="DO21" i="47"/>
  <c r="DQ21" i="47"/>
  <c r="DR21" i="47"/>
  <c r="DS21" i="47"/>
  <c r="DV21" i="47"/>
  <c r="DY21" i="47"/>
  <c r="DZ21" i="47"/>
  <c r="EA21" i="47"/>
  <c r="U22" i="47"/>
  <c r="V22" i="47"/>
  <c r="W22" i="47"/>
  <c r="AA22" i="47"/>
  <c r="AC22" i="47"/>
  <c r="AF22" i="47"/>
  <c r="AH22" i="47"/>
  <c r="BX22" i="47"/>
  <c r="CM22" i="47"/>
  <c r="CN22" i="47"/>
  <c r="CO22" i="47"/>
  <c r="CQ22" i="47"/>
  <c r="CR22" i="47"/>
  <c r="CS22" i="47"/>
  <c r="CU22" i="47"/>
  <c r="CV22" i="47"/>
  <c r="CW22" i="47"/>
  <c r="CX22" i="47"/>
  <c r="CZ22" i="47"/>
  <c r="DA22" i="47"/>
  <c r="DB22" i="47"/>
  <c r="DD22" i="47"/>
  <c r="DE22" i="47"/>
  <c r="DF22" i="47"/>
  <c r="DH22" i="47"/>
  <c r="DI22" i="47"/>
  <c r="DJ22" i="47"/>
  <c r="DK22" i="47"/>
  <c r="DM22" i="47"/>
  <c r="DN22" i="47"/>
  <c r="DO22" i="47"/>
  <c r="DQ22" i="47"/>
  <c r="DR22" i="47"/>
  <c r="DS22" i="47"/>
  <c r="DV22" i="47"/>
  <c r="DY22" i="47"/>
  <c r="DZ22" i="47"/>
  <c r="EA22" i="47"/>
  <c r="U23" i="47"/>
  <c r="V23" i="47"/>
  <c r="W23" i="47"/>
  <c r="AA23" i="47"/>
  <c r="AC23" i="47"/>
  <c r="AF23" i="47"/>
  <c r="AH23" i="47"/>
  <c r="BZ23" i="47"/>
  <c r="CM23" i="47"/>
  <c r="CN23" i="47"/>
  <c r="CO23" i="47"/>
  <c r="CQ23" i="47"/>
  <c r="CR23" i="47"/>
  <c r="CS23" i="47"/>
  <c r="CU23" i="47"/>
  <c r="CV23" i="47"/>
  <c r="CW23" i="47"/>
  <c r="CX23" i="47"/>
  <c r="CZ23" i="47"/>
  <c r="DA23" i="47"/>
  <c r="DB23" i="47"/>
  <c r="DD23" i="47"/>
  <c r="DE23" i="47"/>
  <c r="DF23" i="47"/>
  <c r="DH23" i="47"/>
  <c r="DI23" i="47"/>
  <c r="DJ23" i="47"/>
  <c r="DK23" i="47"/>
  <c r="DM23" i="47"/>
  <c r="DN23" i="47"/>
  <c r="DO23" i="47"/>
  <c r="DQ23" i="47"/>
  <c r="DR23" i="47"/>
  <c r="DS23" i="47"/>
  <c r="DV23" i="47"/>
  <c r="DY23" i="47"/>
  <c r="DZ23" i="47"/>
  <c r="EA23" i="47"/>
  <c r="CM24" i="47"/>
  <c r="CN24" i="47"/>
  <c r="CO24" i="47"/>
  <c r="CQ24" i="47"/>
  <c r="CR24" i="47"/>
  <c r="CS24" i="47"/>
  <c r="CU24" i="47"/>
  <c r="CV24" i="47"/>
  <c r="CW24" i="47"/>
  <c r="CX24" i="47"/>
  <c r="CZ24" i="47"/>
  <c r="DA24" i="47"/>
  <c r="DB24" i="47"/>
  <c r="DD24" i="47"/>
  <c r="DE24" i="47"/>
  <c r="DF24" i="47"/>
  <c r="DH24" i="47"/>
  <c r="DI24" i="47"/>
  <c r="DJ24" i="47"/>
  <c r="DK24" i="47"/>
  <c r="DM24" i="47"/>
  <c r="DN24" i="47"/>
  <c r="DO24" i="47"/>
  <c r="DQ24" i="47"/>
  <c r="DR24" i="47"/>
  <c r="DS24" i="47"/>
  <c r="DV24" i="47"/>
  <c r="DY24" i="47"/>
  <c r="DZ24" i="47"/>
  <c r="EA24" i="47"/>
  <c r="U25" i="47"/>
  <c r="V25" i="47"/>
  <c r="W25" i="47"/>
  <c r="AA25" i="47"/>
  <c r="AC25" i="47"/>
  <c r="AF25" i="47"/>
  <c r="AH25" i="47"/>
  <c r="BW25" i="47"/>
  <c r="BZ25" i="47"/>
  <c r="CM25" i="47"/>
  <c r="CN25" i="47"/>
  <c r="CO25" i="47"/>
  <c r="CQ25" i="47"/>
  <c r="CR25" i="47"/>
  <c r="CS25" i="47"/>
  <c r="CU25" i="47"/>
  <c r="CV25" i="47"/>
  <c r="CW25" i="47"/>
  <c r="CX25" i="47"/>
  <c r="CZ25" i="47"/>
  <c r="DA25" i="47"/>
  <c r="DB25" i="47"/>
  <c r="DD25" i="47"/>
  <c r="DE25" i="47"/>
  <c r="DF25" i="47"/>
  <c r="DH25" i="47"/>
  <c r="DI25" i="47"/>
  <c r="DJ25" i="47"/>
  <c r="DK25" i="47"/>
  <c r="DM25" i="47"/>
  <c r="DN25" i="47"/>
  <c r="DO25" i="47"/>
  <c r="DQ25" i="47"/>
  <c r="DR25" i="47"/>
  <c r="DS25" i="47"/>
  <c r="DV25" i="47"/>
  <c r="DY25" i="47"/>
  <c r="DZ25" i="47"/>
  <c r="EA25" i="47"/>
  <c r="U26" i="47"/>
  <c r="V26" i="47"/>
  <c r="W26" i="47"/>
  <c r="AA26" i="47"/>
  <c r="AC26" i="47"/>
  <c r="AF26" i="47"/>
  <c r="AH26" i="47"/>
  <c r="CM26" i="47"/>
  <c r="CN26" i="47"/>
  <c r="CO26" i="47"/>
  <c r="CQ26" i="47"/>
  <c r="CR26" i="47"/>
  <c r="CS26" i="47"/>
  <c r="CU26" i="47"/>
  <c r="CV26" i="47"/>
  <c r="CW26" i="47"/>
  <c r="CX26" i="47"/>
  <c r="CZ26" i="47"/>
  <c r="DA26" i="47"/>
  <c r="DB26" i="47"/>
  <c r="DD26" i="47"/>
  <c r="DE26" i="47"/>
  <c r="DF26" i="47"/>
  <c r="DH26" i="47"/>
  <c r="DI26" i="47"/>
  <c r="DJ26" i="47"/>
  <c r="DK26" i="47"/>
  <c r="DM26" i="47"/>
  <c r="DN26" i="47"/>
  <c r="DO26" i="47"/>
  <c r="DQ26" i="47"/>
  <c r="DR26" i="47"/>
  <c r="DS26" i="47"/>
  <c r="DV26" i="47"/>
  <c r="DY26" i="47"/>
  <c r="EA26" i="47"/>
  <c r="U27" i="47"/>
  <c r="V27" i="47"/>
  <c r="W27" i="47"/>
  <c r="AA27" i="47"/>
  <c r="AC27" i="47"/>
  <c r="AF27" i="47"/>
  <c r="AH27" i="47"/>
  <c r="CM27" i="47"/>
  <c r="CN27" i="47"/>
  <c r="CO27" i="47"/>
  <c r="CQ27" i="47"/>
  <c r="CR27" i="47"/>
  <c r="CS27" i="47"/>
  <c r="CU27" i="47"/>
  <c r="CV27" i="47"/>
  <c r="CW27" i="47"/>
  <c r="CX27" i="47"/>
  <c r="CZ27" i="47"/>
  <c r="DA27" i="47"/>
  <c r="DB27" i="47"/>
  <c r="DD27" i="47"/>
  <c r="DE27" i="47"/>
  <c r="DH27" i="47"/>
  <c r="DI27" i="47"/>
  <c r="DJ27" i="47"/>
  <c r="DK27" i="47"/>
  <c r="DM27" i="47"/>
  <c r="DN27" i="47"/>
  <c r="DO27" i="47"/>
  <c r="DQ27" i="47"/>
  <c r="DR27" i="47"/>
  <c r="DV27" i="47"/>
  <c r="DY27" i="47"/>
  <c r="DZ27" i="47"/>
  <c r="EA27" i="47"/>
  <c r="U28" i="47"/>
  <c r="V28" i="47"/>
  <c r="W28" i="47"/>
  <c r="AA28" i="47"/>
  <c r="AC28" i="47"/>
  <c r="AF28" i="47"/>
  <c r="AH28" i="47"/>
  <c r="BW28" i="47"/>
  <c r="CM28" i="47"/>
  <c r="CN28" i="47"/>
  <c r="CO28" i="47"/>
  <c r="CQ28" i="47"/>
  <c r="CR28" i="47"/>
  <c r="CS28" i="47"/>
  <c r="CU28" i="47"/>
  <c r="CV28" i="47"/>
  <c r="CW28" i="47"/>
  <c r="CX28" i="47"/>
  <c r="CZ28" i="47"/>
  <c r="DA28" i="47"/>
  <c r="DB28" i="47"/>
  <c r="DD28" i="47"/>
  <c r="DE28" i="47"/>
  <c r="DH28" i="47"/>
  <c r="DI28" i="47"/>
  <c r="DJ28" i="47"/>
  <c r="DK28" i="47"/>
  <c r="DM28" i="47"/>
  <c r="DN28" i="47"/>
  <c r="DO28" i="47"/>
  <c r="DQ28" i="47"/>
  <c r="DR28" i="47"/>
  <c r="DS28" i="47"/>
  <c r="DV28" i="47"/>
  <c r="DY28" i="47"/>
  <c r="DZ28" i="47"/>
  <c r="EA28" i="47"/>
  <c r="CM29" i="47"/>
  <c r="CN29" i="47"/>
  <c r="CO29" i="47"/>
  <c r="CQ29" i="47"/>
  <c r="CR29" i="47"/>
  <c r="CS29" i="47"/>
  <c r="CU29" i="47"/>
  <c r="CV29" i="47"/>
  <c r="CW29" i="47"/>
  <c r="CX29" i="47"/>
  <c r="CZ29" i="47"/>
  <c r="DA29" i="47"/>
  <c r="DB29" i="47"/>
  <c r="DD29" i="47"/>
  <c r="DE29" i="47"/>
  <c r="DH29" i="47"/>
  <c r="DI29" i="47"/>
  <c r="DJ29" i="47"/>
  <c r="DK29" i="47"/>
  <c r="DM29" i="47"/>
  <c r="DN29" i="47"/>
  <c r="DO29" i="47"/>
  <c r="DQ29" i="47"/>
  <c r="DR29" i="47"/>
  <c r="DS29" i="47"/>
  <c r="DV29" i="47"/>
  <c r="DY29" i="47"/>
  <c r="EA29" i="47"/>
  <c r="U30" i="47"/>
  <c r="V30" i="47"/>
  <c r="W30" i="47"/>
  <c r="AA30" i="47"/>
  <c r="AC30" i="47"/>
  <c r="AF30" i="47"/>
  <c r="AH30" i="47"/>
  <c r="CM30" i="47"/>
  <c r="CN30" i="47"/>
  <c r="CO30" i="47"/>
  <c r="CQ30" i="47"/>
  <c r="CR30" i="47"/>
  <c r="CS30" i="47"/>
  <c r="CU30" i="47"/>
  <c r="CV30" i="47"/>
  <c r="CW30" i="47"/>
  <c r="CX30" i="47"/>
  <c r="CZ30" i="47"/>
  <c r="DA30" i="47"/>
  <c r="DB30" i="47"/>
  <c r="DD30" i="47"/>
  <c r="DE30" i="47"/>
  <c r="DF30" i="47"/>
  <c r="DH30" i="47"/>
  <c r="DI30" i="47"/>
  <c r="DJ30" i="47"/>
  <c r="DK30" i="47"/>
  <c r="DM30" i="47"/>
  <c r="DN30" i="47"/>
  <c r="DO30" i="47"/>
  <c r="DQ30" i="47"/>
  <c r="DR30" i="47"/>
  <c r="DS30" i="47"/>
  <c r="DV30" i="47"/>
  <c r="DY30" i="47"/>
  <c r="DZ30" i="47"/>
  <c r="EA30" i="47"/>
  <c r="U31" i="47"/>
  <c r="V31" i="47"/>
  <c r="W31" i="47"/>
  <c r="AA31" i="47"/>
  <c r="AC31" i="47"/>
  <c r="AF31" i="47"/>
  <c r="AH31" i="47"/>
  <c r="CM31" i="47"/>
  <c r="CN31" i="47"/>
  <c r="CO31" i="47"/>
  <c r="CQ31" i="47"/>
  <c r="CR31" i="47"/>
  <c r="CS31" i="47"/>
  <c r="CU31" i="47"/>
  <c r="CV31" i="47"/>
  <c r="CW31" i="47"/>
  <c r="CX31" i="47"/>
  <c r="CZ31" i="47"/>
  <c r="DA31" i="47"/>
  <c r="DB31" i="47"/>
  <c r="DD31" i="47"/>
  <c r="DE31" i="47"/>
  <c r="DF31" i="47"/>
  <c r="DH31" i="47"/>
  <c r="DI31" i="47"/>
  <c r="DJ31" i="47"/>
  <c r="DK31" i="47"/>
  <c r="DM31" i="47"/>
  <c r="DN31" i="47"/>
  <c r="DO31" i="47"/>
  <c r="DQ31" i="47"/>
  <c r="DR31" i="47"/>
  <c r="DS31" i="47"/>
  <c r="DU31" i="47"/>
  <c r="DW31" i="47" s="1"/>
  <c r="DV31" i="47"/>
  <c r="DY31" i="47"/>
  <c r="DZ31" i="47"/>
  <c r="EA31" i="47"/>
  <c r="U32" i="47"/>
  <c r="V32" i="47"/>
  <c r="W32" i="47"/>
  <c r="AA32" i="47"/>
  <c r="AC32" i="47"/>
  <c r="AF32" i="47"/>
  <c r="AH32" i="47"/>
  <c r="CU32" i="47"/>
  <c r="CV32" i="47"/>
  <c r="CW32" i="47"/>
  <c r="CX32" i="47"/>
  <c r="CZ32" i="47"/>
  <c r="DA32" i="47"/>
  <c r="DB32" i="47"/>
  <c r="DD32" i="47"/>
  <c r="DE32" i="47"/>
  <c r="DF32" i="47"/>
  <c r="DH32" i="47"/>
  <c r="DI32" i="47"/>
  <c r="DJ32" i="47"/>
  <c r="DK32" i="47"/>
  <c r="DM32" i="47"/>
  <c r="DN32" i="47"/>
  <c r="DO32" i="47"/>
  <c r="DQ32" i="47"/>
  <c r="DR32" i="47"/>
  <c r="DS32" i="47"/>
  <c r="DV32" i="47"/>
  <c r="DY32" i="47"/>
  <c r="DZ32" i="47"/>
  <c r="EA32" i="47"/>
  <c r="U33" i="47"/>
  <c r="V33" i="47"/>
  <c r="W33" i="47"/>
  <c r="AA33" i="47"/>
  <c r="AC33" i="47"/>
  <c r="AF33" i="47"/>
  <c r="AH33" i="47"/>
  <c r="CU33" i="47"/>
  <c r="CV33" i="47"/>
  <c r="CW33" i="47"/>
  <c r="CX33" i="47"/>
  <c r="CZ33" i="47"/>
  <c r="DA33" i="47"/>
  <c r="DB33" i="47"/>
  <c r="DD33" i="47"/>
  <c r="DE33" i="47"/>
  <c r="DF33" i="47"/>
  <c r="DH33" i="47"/>
  <c r="DI33" i="47"/>
  <c r="DJ33" i="47"/>
  <c r="DK33" i="47"/>
  <c r="DM33" i="47"/>
  <c r="DN33" i="47"/>
  <c r="DO33" i="47"/>
  <c r="DQ33" i="47"/>
  <c r="DR33" i="47"/>
  <c r="DV33" i="47"/>
  <c r="DY33" i="47"/>
  <c r="DZ33" i="47"/>
  <c r="EA33" i="47"/>
  <c r="CU34" i="47"/>
  <c r="CV34" i="47"/>
  <c r="CW34" i="47"/>
  <c r="CX34" i="47"/>
  <c r="CZ34" i="47"/>
  <c r="DA34" i="47"/>
  <c r="DB34" i="47"/>
  <c r="DD34" i="47"/>
  <c r="DE34" i="47"/>
  <c r="DH34" i="47"/>
  <c r="DI34" i="47"/>
  <c r="DJ34" i="47"/>
  <c r="DK34" i="47"/>
  <c r="DM34" i="47"/>
  <c r="DN34" i="47"/>
  <c r="DO34" i="47"/>
  <c r="DQ34" i="47"/>
  <c r="DR34" i="47"/>
  <c r="DV34" i="47"/>
  <c r="DY34" i="47"/>
  <c r="EA34" i="47"/>
  <c r="U35" i="47"/>
  <c r="V35" i="47"/>
  <c r="W35" i="47"/>
  <c r="AA35" i="47"/>
  <c r="AC35" i="47"/>
  <c r="AF35" i="47"/>
  <c r="AH35" i="47"/>
  <c r="BW35" i="47"/>
  <c r="CU35" i="47"/>
  <c r="CV35" i="47"/>
  <c r="CW35" i="47"/>
  <c r="CX35" i="47"/>
  <c r="CZ35" i="47"/>
  <c r="DA35" i="47"/>
  <c r="DB35" i="47"/>
  <c r="DD35" i="47"/>
  <c r="DE35" i="47"/>
  <c r="DH35" i="47"/>
  <c r="DI35" i="47"/>
  <c r="DJ35" i="47"/>
  <c r="DK35" i="47"/>
  <c r="DM35" i="47"/>
  <c r="DN35" i="47"/>
  <c r="DO35" i="47"/>
  <c r="DQ35" i="47"/>
  <c r="DR35" i="47"/>
  <c r="DU35" i="47"/>
  <c r="DW35" i="47" s="1"/>
  <c r="DV35" i="47"/>
  <c r="DY35" i="47"/>
  <c r="DZ35" i="47"/>
  <c r="EA35" i="47"/>
  <c r="U36" i="47"/>
  <c r="V36" i="47"/>
  <c r="W36" i="47"/>
  <c r="AA36" i="47"/>
  <c r="AC36" i="47"/>
  <c r="AF36" i="47"/>
  <c r="AH36" i="47"/>
  <c r="CU36" i="47"/>
  <c r="CV36" i="47"/>
  <c r="CW36" i="47"/>
  <c r="CX36" i="47"/>
  <c r="CZ36" i="47"/>
  <c r="DA36" i="47"/>
  <c r="DB36" i="47"/>
  <c r="DD36" i="47"/>
  <c r="DE36" i="47"/>
  <c r="DF36" i="47"/>
  <c r="DH36" i="47"/>
  <c r="DI36" i="47"/>
  <c r="DJ36" i="47"/>
  <c r="DK36" i="47"/>
  <c r="DM36" i="47"/>
  <c r="DN36" i="47"/>
  <c r="DO36" i="47"/>
  <c r="DQ36" i="47"/>
  <c r="DR36" i="47"/>
  <c r="DS36" i="47"/>
  <c r="DV36" i="47"/>
  <c r="DY36" i="47"/>
  <c r="DZ36" i="47"/>
  <c r="EA36" i="47"/>
  <c r="U37" i="47"/>
  <c r="V37" i="47"/>
  <c r="W37" i="47"/>
  <c r="AA37" i="47"/>
  <c r="AC37" i="47"/>
  <c r="AF37" i="47"/>
  <c r="AH37" i="47"/>
  <c r="BX37" i="47"/>
  <c r="CU37" i="47"/>
  <c r="CV37" i="47"/>
  <c r="CW37" i="47"/>
  <c r="CX37" i="47"/>
  <c r="CZ37" i="47"/>
  <c r="DA37" i="47"/>
  <c r="DB37" i="47"/>
  <c r="DD37" i="47"/>
  <c r="DE37" i="47"/>
  <c r="DF37" i="47"/>
  <c r="DH37" i="47"/>
  <c r="DI37" i="47"/>
  <c r="DJ37" i="47"/>
  <c r="DK37" i="47"/>
  <c r="DM37" i="47"/>
  <c r="DN37" i="47"/>
  <c r="DO37" i="47"/>
  <c r="DQ37" i="47"/>
  <c r="DR37" i="47"/>
  <c r="DS37" i="47"/>
  <c r="DV37" i="47"/>
  <c r="DY37" i="47"/>
  <c r="U38" i="47"/>
  <c r="V38" i="47"/>
  <c r="W38" i="47"/>
  <c r="AA38" i="47"/>
  <c r="AC38" i="47"/>
  <c r="AF38" i="47"/>
  <c r="AH38" i="47"/>
  <c r="BW38" i="47"/>
  <c r="BZ38" i="47"/>
  <c r="CU38" i="47"/>
  <c r="CV38" i="47"/>
  <c r="CW38" i="47"/>
  <c r="CX38" i="47"/>
  <c r="CZ38" i="47"/>
  <c r="DA38" i="47"/>
  <c r="DB38" i="47"/>
  <c r="DD38" i="47"/>
  <c r="DE38" i="47"/>
  <c r="DF38" i="47"/>
  <c r="DH38" i="47"/>
  <c r="DI38" i="47"/>
  <c r="DJ38" i="47"/>
  <c r="DK38" i="47"/>
  <c r="DM38" i="47"/>
  <c r="DN38" i="47"/>
  <c r="DO38" i="47"/>
  <c r="DQ38" i="47"/>
  <c r="DR38" i="47"/>
  <c r="DS38" i="47"/>
  <c r="DV38" i="47"/>
  <c r="DY38" i="47"/>
  <c r="DZ38" i="47"/>
  <c r="EA38" i="47"/>
  <c r="CU39" i="47"/>
  <c r="CV39" i="47"/>
  <c r="CW39" i="47"/>
  <c r="CX39" i="47"/>
  <c r="CZ39" i="47"/>
  <c r="DA39" i="47"/>
  <c r="DB39" i="47"/>
  <c r="DD39" i="47"/>
  <c r="DE39" i="47"/>
  <c r="DF39" i="47"/>
  <c r="DH39" i="47"/>
  <c r="DI39" i="47"/>
  <c r="DJ39" i="47"/>
  <c r="DK39" i="47"/>
  <c r="DM39" i="47"/>
  <c r="DN39" i="47"/>
  <c r="DO39" i="47"/>
  <c r="DQ39" i="47"/>
  <c r="DR39" i="47"/>
  <c r="DS39" i="47"/>
  <c r="DU39" i="47"/>
  <c r="DW39" i="47" s="1"/>
  <c r="DV39" i="47"/>
  <c r="DY39" i="47"/>
  <c r="U40" i="47"/>
  <c r="V40" i="47"/>
  <c r="W40" i="47"/>
  <c r="AC40" i="47"/>
  <c r="AF40" i="47"/>
  <c r="AH40" i="47"/>
  <c r="BZ40" i="47"/>
  <c r="CU40" i="47"/>
  <c r="CV40" i="47"/>
  <c r="CW40" i="47"/>
  <c r="CX40" i="47"/>
  <c r="CZ40" i="47"/>
  <c r="DA40" i="47"/>
  <c r="DB40" i="47"/>
  <c r="DD40" i="47"/>
  <c r="DE40" i="47"/>
  <c r="DF40" i="47"/>
  <c r="DH40" i="47"/>
  <c r="DI40" i="47"/>
  <c r="DJ40" i="47"/>
  <c r="DK40" i="47"/>
  <c r="DM40" i="47"/>
  <c r="DN40" i="47"/>
  <c r="DO40" i="47"/>
  <c r="DQ40" i="47"/>
  <c r="DR40" i="47"/>
  <c r="DS40" i="47"/>
  <c r="DV40" i="47"/>
  <c r="DY40" i="47"/>
  <c r="EA40" i="47"/>
  <c r="U41" i="47"/>
  <c r="V41" i="47"/>
  <c r="W41" i="47"/>
  <c r="AA41" i="47"/>
  <c r="AH41" i="47"/>
  <c r="CU41" i="47"/>
  <c r="CV41" i="47"/>
  <c r="CW41" i="47"/>
  <c r="CX41" i="47"/>
  <c r="CZ41" i="47"/>
  <c r="DA41" i="47"/>
  <c r="DB41" i="47"/>
  <c r="DD41" i="47"/>
  <c r="DE41" i="47"/>
  <c r="DH41" i="47"/>
  <c r="DI41" i="47"/>
  <c r="DJ41" i="47"/>
  <c r="DK41" i="47"/>
  <c r="DM41" i="47"/>
  <c r="DN41" i="47"/>
  <c r="DO41" i="47"/>
  <c r="DQ41" i="47"/>
  <c r="DR41" i="47"/>
  <c r="DS41" i="47"/>
  <c r="DV41" i="47"/>
  <c r="DY41" i="47"/>
  <c r="EA41" i="47"/>
  <c r="U42" i="47"/>
  <c r="V42" i="47"/>
  <c r="W42" i="47"/>
  <c r="AC42" i="47"/>
  <c r="CU42" i="47"/>
  <c r="CV42" i="47"/>
  <c r="CW42" i="47"/>
  <c r="CX42" i="47"/>
  <c r="CZ42" i="47"/>
  <c r="DA42" i="47"/>
  <c r="DB42" i="47"/>
  <c r="DD42" i="47"/>
  <c r="DE42" i="47"/>
  <c r="DF42" i="47"/>
  <c r="DH42" i="47"/>
  <c r="DI42" i="47"/>
  <c r="DJ42" i="47"/>
  <c r="DK42" i="47"/>
  <c r="DM42" i="47"/>
  <c r="DN42" i="47"/>
  <c r="DO42" i="47"/>
  <c r="DQ42" i="47"/>
  <c r="DR42" i="47"/>
  <c r="DS42" i="47"/>
  <c r="DV42" i="47"/>
  <c r="DY42" i="47"/>
  <c r="U43" i="47"/>
  <c r="V43" i="47"/>
  <c r="W43" i="47"/>
  <c r="AA43" i="47"/>
  <c r="AC43" i="47"/>
  <c r="AF43" i="47"/>
  <c r="AH43" i="47"/>
  <c r="CU43" i="47"/>
  <c r="CV43" i="47"/>
  <c r="CW43" i="47"/>
  <c r="CX43" i="47"/>
  <c r="CZ43" i="47"/>
  <c r="DA43" i="47"/>
  <c r="DB43" i="47"/>
  <c r="DD43" i="47"/>
  <c r="DE43" i="47"/>
  <c r="DH43" i="47"/>
  <c r="DI43" i="47"/>
  <c r="DJ43" i="47"/>
  <c r="DK43" i="47"/>
  <c r="DM43" i="47"/>
  <c r="DN43" i="47"/>
  <c r="DO43" i="47"/>
  <c r="DQ43" i="47"/>
  <c r="DR43" i="47"/>
  <c r="DS43" i="47"/>
  <c r="DU43" i="47"/>
  <c r="DW43" i="47" s="1"/>
  <c r="DV43" i="47"/>
  <c r="DY43" i="47"/>
  <c r="CO44" i="47"/>
  <c r="CS44" i="47"/>
  <c r="CU44" i="47"/>
  <c r="CV44" i="47"/>
  <c r="CW44" i="47"/>
  <c r="CX44" i="47"/>
  <c r="CZ44" i="47"/>
  <c r="DA44" i="47"/>
  <c r="DB44" i="47"/>
  <c r="DD44" i="47"/>
  <c r="DE44" i="47"/>
  <c r="DH44" i="47"/>
  <c r="DI44" i="47"/>
  <c r="DJ44" i="47"/>
  <c r="DK44" i="47"/>
  <c r="DM44" i="47"/>
  <c r="DN44" i="47"/>
  <c r="DO44" i="47"/>
  <c r="DQ44" i="47"/>
  <c r="DR44" i="47"/>
  <c r="DS44" i="47"/>
  <c r="DV44" i="47"/>
  <c r="DY44" i="47"/>
  <c r="U45" i="47"/>
  <c r="V45" i="47"/>
  <c r="W45" i="47"/>
  <c r="AA45" i="47"/>
  <c r="AC45" i="47"/>
  <c r="AF45" i="47"/>
  <c r="AH45" i="47"/>
  <c r="U46" i="47"/>
  <c r="V46" i="47"/>
  <c r="W46" i="47"/>
  <c r="U47" i="47"/>
  <c r="V47" i="47"/>
  <c r="W47" i="47"/>
  <c r="AA47" i="47"/>
  <c r="AC47" i="47"/>
  <c r="AF47" i="47"/>
  <c r="AH47" i="47"/>
  <c r="U48" i="47"/>
  <c r="V48" i="47"/>
  <c r="W48" i="47"/>
  <c r="AA48" i="47"/>
  <c r="AC48" i="47"/>
  <c r="AF48" i="47"/>
  <c r="AH48" i="47"/>
  <c r="BY48" i="47"/>
  <c r="BZ48" i="47"/>
  <c r="U50" i="47"/>
  <c r="V50" i="47"/>
  <c r="W50" i="47"/>
  <c r="AA50" i="47"/>
  <c r="AC50" i="47"/>
  <c r="AF50" i="47"/>
  <c r="AH50" i="47"/>
  <c r="U51" i="47"/>
  <c r="V51" i="47"/>
  <c r="W51" i="47"/>
  <c r="AF51" i="47"/>
  <c r="AH51" i="47"/>
  <c r="U52" i="47"/>
  <c r="V52" i="47"/>
  <c r="W52" i="47"/>
  <c r="AC52" i="47"/>
  <c r="AF52" i="47"/>
  <c r="BZ52" i="47"/>
  <c r="U53" i="47"/>
  <c r="V53" i="47"/>
  <c r="W53" i="47"/>
  <c r="AA53" i="47"/>
  <c r="AF53" i="47"/>
  <c r="AH53" i="47"/>
  <c r="U55" i="47"/>
  <c r="V55" i="47"/>
  <c r="W55" i="47"/>
  <c r="AH55" i="47"/>
  <c r="U56" i="47"/>
  <c r="V56" i="47"/>
  <c r="W56" i="47"/>
  <c r="U57" i="47"/>
  <c r="V57" i="47"/>
  <c r="W57" i="47"/>
  <c r="AC57" i="47"/>
  <c r="AF57" i="47"/>
  <c r="AH57" i="47"/>
  <c r="U58" i="47"/>
  <c r="V58" i="47"/>
  <c r="W58" i="47"/>
  <c r="U60" i="47"/>
  <c r="V60" i="47"/>
  <c r="W60" i="47"/>
  <c r="AA60" i="47"/>
  <c r="AC60" i="47"/>
  <c r="U61" i="47"/>
  <c r="V61" i="47"/>
  <c r="W61" i="47"/>
  <c r="BY61" i="47"/>
  <c r="U62" i="47"/>
  <c r="V62" i="47"/>
  <c r="W62" i="47"/>
  <c r="U63" i="47"/>
  <c r="V63" i="47"/>
  <c r="W63" i="47"/>
  <c r="O65" i="47"/>
  <c r="S65" i="47"/>
  <c r="T65" i="47"/>
  <c r="U65" i="47"/>
  <c r="V65" i="47"/>
  <c r="W65" i="47"/>
  <c r="Z65" i="47"/>
  <c r="AB65" i="47"/>
  <c r="AE65" i="47"/>
  <c r="AJ65" i="47"/>
  <c r="AK65" i="47"/>
  <c r="AL65" i="47"/>
  <c r="AW65" i="47"/>
  <c r="AX65" i="47"/>
  <c r="AY65" i="47"/>
  <c r="AZ65" i="47"/>
  <c r="BB65" i="47"/>
  <c r="BC65" i="47"/>
  <c r="BD65" i="47"/>
  <c r="BE65" i="47"/>
  <c r="BG65" i="47"/>
  <c r="BH65" i="47"/>
  <c r="BJ65" i="47"/>
  <c r="BK65" i="47"/>
  <c r="BL65" i="47"/>
  <c r="BM65" i="47"/>
  <c r="BO65" i="47"/>
  <c r="BP65" i="47"/>
  <c r="BQ65" i="47"/>
  <c r="BR65" i="47"/>
  <c r="BS65" i="47"/>
  <c r="BT65" i="47"/>
  <c r="BU65" i="47"/>
  <c r="O66" i="47"/>
  <c r="S66" i="47"/>
  <c r="T66" i="47"/>
  <c r="U66" i="47"/>
  <c r="V66" i="47"/>
  <c r="W66" i="47"/>
  <c r="Y66" i="47"/>
  <c r="Z66" i="47"/>
  <c r="AB66" i="47"/>
  <c r="AE66" i="47"/>
  <c r="AG66" i="47"/>
  <c r="AJ66" i="47"/>
  <c r="AK66" i="47"/>
  <c r="AL66" i="47"/>
  <c r="AW66" i="47"/>
  <c r="AX66" i="47"/>
  <c r="AY66" i="47"/>
  <c r="AZ66" i="47"/>
  <c r="BB66" i="47"/>
  <c r="BC66" i="47"/>
  <c r="BD66" i="47"/>
  <c r="BE66" i="47"/>
  <c r="BG66" i="47"/>
  <c r="BH66" i="47"/>
  <c r="BJ66" i="47"/>
  <c r="BK66" i="47"/>
  <c r="BL66" i="47"/>
  <c r="BM66" i="47"/>
  <c r="BO66" i="47"/>
  <c r="BP66" i="47"/>
  <c r="BQ66" i="47"/>
  <c r="BR66" i="47"/>
  <c r="BS66" i="47"/>
  <c r="BT66" i="47"/>
  <c r="BU66" i="47"/>
  <c r="H67" i="47"/>
  <c r="I67" i="47"/>
  <c r="J67" i="47"/>
  <c r="K67" i="47"/>
  <c r="L67" i="47"/>
  <c r="M67" i="47"/>
  <c r="O67" i="47"/>
  <c r="Q67" i="47"/>
  <c r="R67" i="47"/>
  <c r="S67" i="47"/>
  <c r="T67" i="47"/>
  <c r="U67" i="47"/>
  <c r="V67" i="47"/>
  <c r="W67" i="47"/>
  <c r="Y67" i="47"/>
  <c r="Z67" i="47"/>
  <c r="AA67" i="47"/>
  <c r="AB67" i="47"/>
  <c r="AC67" i="47"/>
  <c r="AD67" i="47"/>
  <c r="AE67" i="47"/>
  <c r="AF67" i="47"/>
  <c r="AG67" i="47"/>
  <c r="AH67" i="47"/>
  <c r="AJ67" i="47"/>
  <c r="AK67" i="47"/>
  <c r="AL67" i="47"/>
  <c r="AW67" i="47"/>
  <c r="AX67" i="47"/>
  <c r="AY67" i="47"/>
  <c r="AZ67" i="47"/>
  <c r="BB67" i="47"/>
  <c r="BC67" i="47"/>
  <c r="BD67" i="47"/>
  <c r="BE67" i="47"/>
  <c r="BF67" i="47"/>
  <c r="BG67" i="47"/>
  <c r="BH67" i="47"/>
  <c r="BJ67" i="47"/>
  <c r="BK67" i="47"/>
  <c r="BL67" i="47"/>
  <c r="BM67" i="47"/>
  <c r="BO67" i="47"/>
  <c r="BP67" i="47"/>
  <c r="BQ67" i="47"/>
  <c r="BR67" i="47"/>
  <c r="BS67" i="47"/>
  <c r="BT67" i="47"/>
  <c r="BU67" i="47"/>
  <c r="BW67" i="47"/>
  <c r="BX67" i="47"/>
  <c r="BY67" i="47"/>
  <c r="BZ67" i="47"/>
  <c r="E74" i="47"/>
  <c r="F74" i="47" s="1"/>
  <c r="H78" i="47"/>
  <c r="I78" i="47"/>
  <c r="J78" i="47"/>
  <c r="K78" i="47"/>
  <c r="L78" i="47"/>
  <c r="M78" i="47"/>
  <c r="E76" i="47"/>
  <c r="EH23" i="47" l="1"/>
  <c r="EH19" i="47"/>
  <c r="BS53" i="47"/>
  <c r="DS34" i="47"/>
  <c r="AS289" i="46"/>
  <c r="AS283" i="46"/>
  <c r="AT273" i="46"/>
  <c r="J262" i="46"/>
  <c r="AT261" i="46"/>
  <c r="AT262" i="46"/>
  <c r="AS261" i="46"/>
  <c r="J256" i="46"/>
  <c r="J255" i="46"/>
  <c r="AT255" i="46"/>
  <c r="AT256" i="46"/>
  <c r="J250" i="46"/>
  <c r="AS243" i="46"/>
  <c r="AS239" i="46"/>
  <c r="J236" i="46"/>
  <c r="AT232" i="46"/>
  <c r="J232" i="46"/>
  <c r="AT231" i="46"/>
  <c r="AS225" i="46"/>
  <c r="AS219" i="46"/>
  <c r="AT209" i="46"/>
  <c r="AT193" i="46"/>
  <c r="AT194" i="46"/>
  <c r="Q184" i="46"/>
  <c r="T184" i="46"/>
  <c r="AA62" i="47" s="1"/>
  <c r="X171" i="46"/>
  <c r="AF46" i="47" s="1"/>
  <c r="T171" i="46"/>
  <c r="AA46" i="47" s="1"/>
  <c r="U171" i="46"/>
  <c r="AT163" i="46"/>
  <c r="BZ36" i="47" s="1"/>
  <c r="BF32" i="47"/>
  <c r="AS162" i="46"/>
  <c r="BY35" i="47" s="1"/>
  <c r="AS163" i="46"/>
  <c r="BY36" i="47" s="1"/>
  <c r="AT160" i="46"/>
  <c r="BZ32" i="47" s="1"/>
  <c r="CI8" i="47"/>
  <c r="CL4" i="47"/>
  <c r="J293" i="46"/>
  <c r="AT290" i="46"/>
  <c r="J290" i="46"/>
  <c r="AT289" i="46"/>
  <c r="AS281" i="46"/>
  <c r="J278" i="46"/>
  <c r="AT277" i="46"/>
  <c r="AT278" i="46"/>
  <c r="AS277" i="46"/>
  <c r="J272" i="46"/>
  <c r="J271" i="46"/>
  <c r="AT271" i="46"/>
  <c r="AT272" i="46"/>
  <c r="J266" i="46"/>
  <c r="AT265" i="46"/>
  <c r="AT260" i="46"/>
  <c r="J259" i="46"/>
  <c r="AS259" i="46"/>
  <c r="AT254" i="46"/>
  <c r="AS255" i="46"/>
  <c r="J252" i="46"/>
  <c r="AT251" i="46"/>
  <c r="J248" i="46"/>
  <c r="AT247" i="46"/>
  <c r="AS241" i="46"/>
  <c r="AT234" i="46"/>
  <c r="J233" i="46"/>
  <c r="AS235" i="46"/>
  <c r="J229" i="46"/>
  <c r="AT226" i="46"/>
  <c r="J226" i="46"/>
  <c r="AT225" i="46"/>
  <c r="AS217" i="46"/>
  <c r="J214" i="46"/>
  <c r="AT213" i="46"/>
  <c r="AT214" i="46"/>
  <c r="AS213" i="46"/>
  <c r="J208" i="46"/>
  <c r="J207" i="46"/>
  <c r="AT207" i="46"/>
  <c r="AT208" i="46"/>
  <c r="J204" i="46"/>
  <c r="J203" i="46"/>
  <c r="AT203" i="46"/>
  <c r="AT200" i="46"/>
  <c r="J200" i="46"/>
  <c r="J191" i="46"/>
  <c r="AP186" i="46"/>
  <c r="K186" i="46"/>
  <c r="BX65" i="47" s="1"/>
  <c r="Q181" i="46"/>
  <c r="A177" i="46"/>
  <c r="K165" i="46"/>
  <c r="BX38" i="47" s="1"/>
  <c r="AT293" i="46"/>
  <c r="AS293" i="46"/>
  <c r="J288" i="46"/>
  <c r="J287" i="46"/>
  <c r="AT287" i="46"/>
  <c r="AT288" i="46"/>
  <c r="AT284" i="46"/>
  <c r="J282" i="46"/>
  <c r="AT281" i="46"/>
  <c r="J275" i="46"/>
  <c r="AT270" i="46"/>
  <c r="AS271" i="46"/>
  <c r="J268" i="46"/>
  <c r="AT267" i="46"/>
  <c r="AT264" i="46"/>
  <c r="J263" i="46"/>
  <c r="J264" i="46"/>
  <c r="AT263" i="46"/>
  <c r="AS257" i="46"/>
  <c r="AT250" i="46"/>
  <c r="J249" i="46"/>
  <c r="J245" i="46"/>
  <c r="AT242" i="46"/>
  <c r="J242" i="46"/>
  <c r="AT241" i="46"/>
  <c r="AS233" i="46"/>
  <c r="J230" i="46"/>
  <c r="AT229" i="46"/>
  <c r="AT230" i="46"/>
  <c r="AS229" i="46"/>
  <c r="J224" i="46"/>
  <c r="J223" i="46"/>
  <c r="AT223" i="46"/>
  <c r="AT224" i="46"/>
  <c r="AT220" i="46"/>
  <c r="J219" i="46"/>
  <c r="J218" i="46"/>
  <c r="AT217" i="46"/>
  <c r="J211" i="46"/>
  <c r="AT206" i="46"/>
  <c r="AS207" i="46"/>
  <c r="J197" i="46"/>
  <c r="AS197" i="46"/>
  <c r="J193" i="46"/>
  <c r="AS193" i="46"/>
  <c r="AT192" i="46"/>
  <c r="I183" i="46"/>
  <c r="AC178" i="46"/>
  <c r="I178" i="46"/>
  <c r="AC177" i="46"/>
  <c r="Q53" i="47" s="1"/>
  <c r="AC171" i="46"/>
  <c r="Q46" i="47" s="1"/>
  <c r="AS287" i="46"/>
  <c r="J284" i="46"/>
  <c r="J261" i="46"/>
  <c r="AT258" i="46"/>
  <c r="J257" i="46"/>
  <c r="AS249" i="46"/>
  <c r="J246" i="46"/>
  <c r="AT245" i="46"/>
  <c r="AT246" i="46"/>
  <c r="AS245" i="46"/>
  <c r="J240" i="46"/>
  <c r="J239" i="46"/>
  <c r="AT239" i="46"/>
  <c r="AT240" i="46"/>
  <c r="J234" i="46"/>
  <c r="AS223" i="46"/>
  <c r="J198" i="46"/>
  <c r="AT197" i="46"/>
  <c r="AT198" i="46"/>
  <c r="AS191" i="46"/>
  <c r="B197" i="46"/>
  <c r="A193" i="46"/>
  <c r="Y171" i="46"/>
  <c r="J174" i="46"/>
  <c r="BW50" i="47" s="1"/>
  <c r="J202" i="46"/>
  <c r="AT201" i="46"/>
  <c r="AS201" i="46"/>
  <c r="AS195" i="46"/>
  <c r="I180" i="46"/>
  <c r="BF170" i="46"/>
  <c r="DS27" i="47" s="1"/>
  <c r="AT167" i="46"/>
  <c r="BZ41" i="47" s="1"/>
  <c r="AT161" i="46"/>
  <c r="BZ33" i="47" s="1"/>
  <c r="K143" i="46"/>
  <c r="K137" i="46"/>
  <c r="B135" i="46"/>
  <c r="A135" i="46" s="1"/>
  <c r="J126" i="46"/>
  <c r="K124" i="46"/>
  <c r="K118" i="46"/>
  <c r="J111" i="46"/>
  <c r="AT113" i="46"/>
  <c r="J108" i="46"/>
  <c r="J105" i="46"/>
  <c r="AT104" i="46"/>
  <c r="K104" i="46"/>
  <c r="AT96" i="46"/>
  <c r="J84" i="46"/>
  <c r="J75" i="46"/>
  <c r="B20" i="46"/>
  <c r="I175" i="46"/>
  <c r="I168" i="46"/>
  <c r="I166" i="46"/>
  <c r="AT158" i="46"/>
  <c r="BZ30" i="47" s="1"/>
  <c r="K154" i="46"/>
  <c r="BX25" i="47" s="1"/>
  <c r="AT156" i="46"/>
  <c r="BZ27" i="47" s="1"/>
  <c r="AS153" i="46"/>
  <c r="BY23" i="47" s="1"/>
  <c r="K145" i="46"/>
  <c r="AS138" i="46"/>
  <c r="AS137" i="46"/>
  <c r="AS131" i="46"/>
  <c r="AS130" i="46"/>
  <c r="AT108" i="46"/>
  <c r="J96" i="46"/>
  <c r="K89" i="46"/>
  <c r="J76" i="46"/>
  <c r="A11" i="46"/>
  <c r="B12" i="46"/>
  <c r="J152" i="46"/>
  <c r="BW22" i="47" s="1"/>
  <c r="K129" i="46"/>
  <c r="K127" i="46"/>
  <c r="J124" i="46"/>
  <c r="AS98" i="46"/>
  <c r="J292" i="46"/>
  <c r="AT291" i="46"/>
  <c r="J286" i="46"/>
  <c r="AT285" i="46"/>
  <c r="AS285" i="46"/>
  <c r="AS279" i="46"/>
  <c r="J276" i="46"/>
  <c r="AT275" i="46"/>
  <c r="J270" i="46"/>
  <c r="AT269" i="46"/>
  <c r="AS269" i="46"/>
  <c r="AS263" i="46"/>
  <c r="J260" i="46"/>
  <c r="AT259" i="46"/>
  <c r="J254" i="46"/>
  <c r="AT253" i="46"/>
  <c r="AS253" i="46"/>
  <c r="AS247" i="46"/>
  <c r="J244" i="46"/>
  <c r="AT243" i="46"/>
  <c r="J238" i="46"/>
  <c r="AT237" i="46"/>
  <c r="AS237" i="46"/>
  <c r="AS231" i="46"/>
  <c r="J228" i="46"/>
  <c r="AT227" i="46"/>
  <c r="J222" i="46"/>
  <c r="AT221" i="46"/>
  <c r="AS221" i="46"/>
  <c r="AS215" i="46"/>
  <c r="J212" i="46"/>
  <c r="AT211" i="46"/>
  <c r="J206" i="46"/>
  <c r="AT205" i="46"/>
  <c r="AS205" i="46"/>
  <c r="AS199" i="46"/>
  <c r="J196" i="46"/>
  <c r="AT195" i="46"/>
  <c r="J192" i="46"/>
  <c r="AT191" i="46"/>
  <c r="AP184" i="46"/>
  <c r="AT185" i="46" s="1"/>
  <c r="BZ63" i="47" s="1"/>
  <c r="F180" i="46"/>
  <c r="Q179" i="46"/>
  <c r="F179" i="46"/>
  <c r="AC172" i="46"/>
  <c r="Q47" i="47" s="1"/>
  <c r="AP171" i="46"/>
  <c r="DF28" i="47" s="1"/>
  <c r="AC170" i="46"/>
  <c r="J159" i="46"/>
  <c r="BW31" i="47" s="1"/>
  <c r="DF13" i="47"/>
  <c r="K157" i="46"/>
  <c r="BX28" i="47" s="1"/>
  <c r="K139" i="46"/>
  <c r="K140" i="46"/>
  <c r="J136" i="46"/>
  <c r="AS135" i="46"/>
  <c r="J129" i="46"/>
  <c r="AT125" i="46"/>
  <c r="B120" i="46"/>
  <c r="K122" i="46"/>
  <c r="AT117" i="46"/>
  <c r="K119" i="46"/>
  <c r="AS115" i="46"/>
  <c r="K110" i="46"/>
  <c r="J109" i="46"/>
  <c r="J97" i="46"/>
  <c r="B28" i="46"/>
  <c r="K81" i="46"/>
  <c r="EH10" i="47"/>
  <c r="ED16" i="47"/>
  <c r="EF16" i="47" s="1"/>
  <c r="CO62" i="47"/>
  <c r="DX39" i="47"/>
  <c r="EH9" i="47"/>
  <c r="DX43" i="47"/>
  <c r="ED17" i="47"/>
  <c r="EF17" i="47" s="1"/>
  <c r="ED15" i="47"/>
  <c r="EF15" i="47" s="1"/>
  <c r="EE16" i="47"/>
  <c r="EE15" i="47"/>
  <c r="EH12" i="47"/>
  <c r="EH15" i="47"/>
  <c r="EH11" i="47"/>
  <c r="EE17" i="47"/>
  <c r="EI15" i="47"/>
  <c r="DX35" i="47"/>
  <c r="DX31" i="47"/>
  <c r="EE12" i="47"/>
  <c r="X187" i="46"/>
  <c r="AF66" i="47" s="1"/>
  <c r="T187" i="46"/>
  <c r="AA66" i="47" s="1"/>
  <c r="AC187" i="46"/>
  <c r="Q66" i="47" s="1"/>
  <c r="V187" i="46"/>
  <c r="AC66" i="47" s="1"/>
  <c r="Z187" i="46"/>
  <c r="AH66" i="47" s="1"/>
  <c r="AD66" i="47"/>
  <c r="Y183" i="46"/>
  <c r="X183" i="46"/>
  <c r="AF61" i="47" s="1"/>
  <c r="Y61" i="47"/>
  <c r="AD61" i="47"/>
  <c r="G76" i="47"/>
  <c r="R66" i="47"/>
  <c r="R65" i="47"/>
  <c r="CM59" i="47"/>
  <c r="ED12" i="47"/>
  <c r="EF12" i="47" s="1"/>
  <c r="CJ12" i="47"/>
  <c r="AC183" i="46"/>
  <c r="Q61" i="47" s="1"/>
  <c r="AS182" i="46"/>
  <c r="BY60" i="47" s="1"/>
  <c r="AT182" i="46"/>
  <c r="BZ60" i="47" s="1"/>
  <c r="K180" i="46"/>
  <c r="BX57" i="47" s="1"/>
  <c r="J180" i="46"/>
  <c r="BW57" i="47" s="1"/>
  <c r="K178" i="46"/>
  <c r="BX55" i="47" s="1"/>
  <c r="J178" i="46"/>
  <c r="BW55" i="47" s="1"/>
  <c r="K176" i="46"/>
  <c r="BX52" i="47" s="1"/>
  <c r="AS175" i="46"/>
  <c r="BY51" i="47" s="1"/>
  <c r="DF29" i="47"/>
  <c r="AT175" i="46"/>
  <c r="BZ51" i="47" s="1"/>
  <c r="BF47" i="47"/>
  <c r="AS168" i="46"/>
  <c r="BY42" i="47" s="1"/>
  <c r="BF42" i="47"/>
  <c r="J166" i="46"/>
  <c r="BW40" i="47" s="1"/>
  <c r="G74" i="47"/>
  <c r="CM62" i="47"/>
  <c r="DS35" i="47"/>
  <c r="DS33" i="47"/>
  <c r="R61" i="47"/>
  <c r="AS188" i="46"/>
  <c r="AS190" i="46"/>
  <c r="AT188" i="46"/>
  <c r="AT190" i="46"/>
  <c r="DF44" i="47"/>
  <c r="BF66" i="47"/>
  <c r="V183" i="46"/>
  <c r="AC61" i="47" s="1"/>
  <c r="K179" i="46"/>
  <c r="BX56" i="47" s="1"/>
  <c r="CN62" i="47"/>
  <c r="X186" i="46"/>
  <c r="AF65" i="47" s="1"/>
  <c r="V186" i="46"/>
  <c r="AC65" i="47" s="1"/>
  <c r="Y186" i="46"/>
  <c r="T186" i="46"/>
  <c r="AA65" i="47" s="1"/>
  <c r="Y65" i="47"/>
  <c r="F76" i="47"/>
  <c r="AD65" i="47"/>
  <c r="CN59" i="47"/>
  <c r="F13" i="47"/>
  <c r="AS187" i="46"/>
  <c r="BY66" i="47" s="1"/>
  <c r="AS184" i="46"/>
  <c r="BY62" i="47" s="1"/>
  <c r="AT187" i="46"/>
  <c r="BZ66" i="47" s="1"/>
  <c r="AT184" i="46"/>
  <c r="BZ62" i="47" s="1"/>
  <c r="K183" i="46"/>
  <c r="BX61" i="47" s="1"/>
  <c r="J183" i="46"/>
  <c r="BW61" i="47" s="1"/>
  <c r="K182" i="46"/>
  <c r="BX60" i="47" s="1"/>
  <c r="K181" i="46"/>
  <c r="BX58" i="47" s="1"/>
  <c r="J182" i="46"/>
  <c r="BW60" i="47" s="1"/>
  <c r="J181" i="46"/>
  <c r="BW58" i="47" s="1"/>
  <c r="J177" i="46"/>
  <c r="BW53" i="47" s="1"/>
  <c r="AT174" i="46"/>
  <c r="BZ50" i="47" s="1"/>
  <c r="BF46" i="47"/>
  <c r="AS174" i="46"/>
  <c r="BY50" i="47" s="1"/>
  <c r="Y60" i="47"/>
  <c r="T61" i="47"/>
  <c r="DF12" i="47"/>
  <c r="BE55" i="47"/>
  <c r="BD56" i="47"/>
  <c r="BC57" i="47"/>
  <c r="BB58" i="47"/>
  <c r="AZ55" i="47"/>
  <c r="AY56" i="47"/>
  <c r="AX57" i="47"/>
  <c r="AW58" i="47"/>
  <c r="AL55" i="47"/>
  <c r="AK56" i="47"/>
  <c r="AJ57" i="47"/>
  <c r="AE55" i="47"/>
  <c r="AD56" i="47"/>
  <c r="AB57" i="47"/>
  <c r="Z58" i="47"/>
  <c r="Y55" i="47"/>
  <c r="T56" i="47"/>
  <c r="S57" i="47"/>
  <c r="R58" i="47"/>
  <c r="Q55" i="47"/>
  <c r="O56" i="47"/>
  <c r="CR43" i="47"/>
  <c r="CO42" i="47"/>
  <c r="EE11" i="47" s="1"/>
  <c r="DZ11" i="47"/>
  <c r="DV11" i="47"/>
  <c r="DQ11" i="47"/>
  <c r="DK11" i="47"/>
  <c r="DF11" i="47"/>
  <c r="DA11" i="47"/>
  <c r="CV11" i="47"/>
  <c r="CQ11" i="47"/>
  <c r="BU52" i="47"/>
  <c r="BT53" i="47"/>
  <c r="BS50" i="47"/>
  <c r="BR51" i="47"/>
  <c r="BQ52" i="47"/>
  <c r="BP53" i="47"/>
  <c r="BO50" i="47"/>
  <c r="BM51" i="47"/>
  <c r="BL52" i="47"/>
  <c r="BK53" i="47"/>
  <c r="BJ50" i="47"/>
  <c r="BH51" i="47"/>
  <c r="BG52" i="47"/>
  <c r="BE50" i="47"/>
  <c r="BD51" i="47"/>
  <c r="BC52" i="47"/>
  <c r="BB53" i="47"/>
  <c r="AZ50" i="47"/>
  <c r="AY51" i="47"/>
  <c r="AX52" i="47"/>
  <c r="AW53" i="47"/>
  <c r="AL50" i="47"/>
  <c r="AK51" i="47"/>
  <c r="AJ52" i="47"/>
  <c r="AG53" i="47"/>
  <c r="AE50" i="47"/>
  <c r="AD51" i="47"/>
  <c r="AB52" i="47"/>
  <c r="Z53" i="47"/>
  <c r="Y50" i="47"/>
  <c r="T51" i="47"/>
  <c r="S52" i="47"/>
  <c r="R53" i="47"/>
  <c r="Q50" i="47"/>
  <c r="O51" i="47"/>
  <c r="CR42" i="47"/>
  <c r="CO41" i="47"/>
  <c r="EE10" i="47" s="1"/>
  <c r="DZ10" i="47"/>
  <c r="DV10" i="47"/>
  <c r="DQ10" i="47"/>
  <c r="DK10" i="47"/>
  <c r="DF10" i="47"/>
  <c r="DA10" i="47"/>
  <c r="CV10" i="47"/>
  <c r="CQ10" i="47"/>
  <c r="BU47" i="47"/>
  <c r="BT48" i="47"/>
  <c r="BS45" i="47"/>
  <c r="BR46" i="47"/>
  <c r="BQ47" i="47"/>
  <c r="BP48" i="47"/>
  <c r="BO45" i="47"/>
  <c r="BM46" i="47"/>
  <c r="BL47" i="47"/>
  <c r="BK48" i="47"/>
  <c r="BJ45" i="47"/>
  <c r="BH46" i="47"/>
  <c r="BG47" i="47"/>
  <c r="BF48" i="47"/>
  <c r="BE45" i="47"/>
  <c r="BD46" i="47"/>
  <c r="BC47" i="47"/>
  <c r="BB48" i="47"/>
  <c r="AZ45" i="47"/>
  <c r="AY46" i="47"/>
  <c r="AX47" i="47"/>
  <c r="AW48" i="47"/>
  <c r="AL45" i="47"/>
  <c r="AK46" i="47"/>
  <c r="AJ47" i="47"/>
  <c r="AG48" i="47"/>
  <c r="AE45" i="47"/>
  <c r="AD46" i="47"/>
  <c r="AB47" i="47"/>
  <c r="Z48" i="47"/>
  <c r="Y45" i="47"/>
  <c r="T46" i="47"/>
  <c r="S47" i="47"/>
  <c r="R48" i="47"/>
  <c r="Q45" i="47"/>
  <c r="O46" i="47"/>
  <c r="CR41" i="47"/>
  <c r="CO40" i="47"/>
  <c r="EE9" i="47" s="1"/>
  <c r="DZ9" i="47"/>
  <c r="DV9" i="47"/>
  <c r="DQ9" i="47"/>
  <c r="DK9" i="47"/>
  <c r="DF9" i="47"/>
  <c r="DA9" i="47"/>
  <c r="CV9" i="47"/>
  <c r="CQ9" i="47"/>
  <c r="BU42" i="47"/>
  <c r="BT43" i="47"/>
  <c r="BS40" i="47"/>
  <c r="BR41" i="47"/>
  <c r="BQ42" i="47"/>
  <c r="BP43" i="47"/>
  <c r="BO40" i="47"/>
  <c r="BM41" i="47"/>
  <c r="BL42" i="47"/>
  <c r="BK43" i="47"/>
  <c r="BJ40" i="47"/>
  <c r="BH41" i="47"/>
  <c r="BG42" i="47"/>
  <c r="BF43" i="47"/>
  <c r="BE40" i="47"/>
  <c r="BD41" i="47"/>
  <c r="BC42" i="47"/>
  <c r="BB43" i="47"/>
  <c r="AZ40" i="47"/>
  <c r="AY41" i="47"/>
  <c r="AX42" i="47"/>
  <c r="AW43" i="47"/>
  <c r="AL40" i="47"/>
  <c r="AK41" i="47"/>
  <c r="AJ42" i="47"/>
  <c r="AG43" i="47"/>
  <c r="AE40" i="47"/>
  <c r="AD41" i="47"/>
  <c r="AB42" i="47"/>
  <c r="Z43" i="47"/>
  <c r="Y40" i="47"/>
  <c r="T41" i="47"/>
  <c r="S42" i="47"/>
  <c r="R43" i="47"/>
  <c r="Q40" i="47"/>
  <c r="O41" i="47"/>
  <c r="CR40" i="47"/>
  <c r="CO39" i="47"/>
  <c r="EE8" i="47" s="1"/>
  <c r="DZ8" i="47"/>
  <c r="DV8" i="47"/>
  <c r="DQ8" i="47"/>
  <c r="DK8" i="47"/>
  <c r="DF8" i="47"/>
  <c r="DA8" i="47"/>
  <c r="CV8" i="47"/>
  <c r="CQ8" i="47"/>
  <c r="BU37" i="47"/>
  <c r="BT38" i="47"/>
  <c r="BS35" i="47"/>
  <c r="BR36" i="47"/>
  <c r="BQ37" i="47"/>
  <c r="BP38" i="47"/>
  <c r="BO35" i="47"/>
  <c r="BM36" i="47"/>
  <c r="BL37" i="47"/>
  <c r="BK38" i="47"/>
  <c r="BJ35" i="47"/>
  <c r="BH36" i="47"/>
  <c r="BG37" i="47"/>
  <c r="BF38" i="47"/>
  <c r="BE35" i="47"/>
  <c r="BD36" i="47"/>
  <c r="BC37" i="47"/>
  <c r="BB38" i="47"/>
  <c r="AZ35" i="47"/>
  <c r="AY36" i="47"/>
  <c r="AX37" i="47"/>
  <c r="AW38" i="47"/>
  <c r="AL35" i="47"/>
  <c r="AK36" i="47"/>
  <c r="AJ37" i="47"/>
  <c r="AG38" i="47"/>
  <c r="AE35" i="47"/>
  <c r="AD36" i="47"/>
  <c r="AB37" i="47"/>
  <c r="Z38" i="47"/>
  <c r="Y35" i="47"/>
  <c r="T36" i="47"/>
  <c r="S37" i="47"/>
  <c r="R38" i="47"/>
  <c r="Q35" i="47"/>
  <c r="O36" i="47"/>
  <c r="CR39" i="47"/>
  <c r="CO38" i="47"/>
  <c r="EE21" i="47" s="1"/>
  <c r="DS7" i="47"/>
  <c r="DN7" i="47"/>
  <c r="DI7" i="47"/>
  <c r="DD7" i="47"/>
  <c r="CX7" i="47"/>
  <c r="CS7" i="47"/>
  <c r="CN7" i="47"/>
  <c r="BU32" i="47"/>
  <c r="BT33" i="47"/>
  <c r="BS30" i="47"/>
  <c r="BR31" i="47"/>
  <c r="BQ32" i="47"/>
  <c r="BP33" i="47"/>
  <c r="BO30" i="47"/>
  <c r="BM31" i="47"/>
  <c r="BL32" i="47"/>
  <c r="BK33" i="47"/>
  <c r="BJ30" i="47"/>
  <c r="BH31" i="47"/>
  <c r="BG32" i="47"/>
  <c r="BF33" i="47"/>
  <c r="BE30" i="47"/>
  <c r="BD31" i="47"/>
  <c r="BC32" i="47"/>
  <c r="BB33" i="47"/>
  <c r="AZ30" i="47"/>
  <c r="AY31" i="47"/>
  <c r="AX32" i="47"/>
  <c r="AW33" i="47"/>
  <c r="AL30" i="47"/>
  <c r="AK31" i="47"/>
  <c r="AJ32" i="47"/>
  <c r="AG33" i="47"/>
  <c r="AE30" i="47"/>
  <c r="AD31" i="47"/>
  <c r="AB32" i="47"/>
  <c r="Z33" i="47"/>
  <c r="Y30" i="47"/>
  <c r="T31" i="47"/>
  <c r="S32" i="47"/>
  <c r="R33" i="47"/>
  <c r="Q30" i="47"/>
  <c r="O31" i="47"/>
  <c r="CR38" i="47"/>
  <c r="CO37" i="47"/>
  <c r="EE20" i="47" s="1"/>
  <c r="DS6" i="47"/>
  <c r="DN6" i="47"/>
  <c r="DI6" i="47"/>
  <c r="DD6" i="47"/>
  <c r="CX6" i="47"/>
  <c r="CS6" i="47"/>
  <c r="CN6" i="47"/>
  <c r="BU27" i="47"/>
  <c r="BT28" i="47"/>
  <c r="BS25" i="47"/>
  <c r="BR26" i="47"/>
  <c r="BQ27" i="47"/>
  <c r="BP28" i="47"/>
  <c r="BO25" i="47"/>
  <c r="BM26" i="47"/>
  <c r="BL27" i="47"/>
  <c r="BK28" i="47"/>
  <c r="BJ25" i="47"/>
  <c r="BH26" i="47"/>
  <c r="BG27" i="47"/>
  <c r="BF28" i="47"/>
  <c r="BE25" i="47"/>
  <c r="BD26" i="47"/>
  <c r="BC27" i="47"/>
  <c r="BB28" i="47"/>
  <c r="AZ25" i="47"/>
  <c r="AY26" i="47"/>
  <c r="AX27" i="47"/>
  <c r="AW28" i="47"/>
  <c r="AL25" i="47"/>
  <c r="AK26" i="47"/>
  <c r="AJ27" i="47"/>
  <c r="AG28" i="47"/>
  <c r="AE25" i="47"/>
  <c r="AD26" i="47"/>
  <c r="AB27" i="47"/>
  <c r="Z28" i="47"/>
  <c r="Y25" i="47"/>
  <c r="T26" i="47"/>
  <c r="S27" i="47"/>
  <c r="R28" i="47"/>
  <c r="Q25" i="47"/>
  <c r="O26" i="47"/>
  <c r="CR37" i="47"/>
  <c r="CO36" i="47"/>
  <c r="DS5" i="47"/>
  <c r="DN5" i="47"/>
  <c r="DI5" i="47"/>
  <c r="DD5" i="47"/>
  <c r="CX5" i="47"/>
  <c r="CS5" i="47"/>
  <c r="CN5" i="47"/>
  <c r="CJ5" i="47"/>
  <c r="BU22" i="47"/>
  <c r="BT23" i="47"/>
  <c r="BS20" i="47"/>
  <c r="BR21" i="47"/>
  <c r="BQ22" i="47"/>
  <c r="BP23" i="47"/>
  <c r="BO20" i="47"/>
  <c r="BM21" i="47"/>
  <c r="BL22" i="47"/>
  <c r="BK23" i="47"/>
  <c r="BJ20" i="47"/>
  <c r="BH21" i="47"/>
  <c r="BG22" i="47"/>
  <c r="BF23" i="47"/>
  <c r="BE20" i="47"/>
  <c r="BD21" i="47"/>
  <c r="BC22" i="47"/>
  <c r="BB23" i="47"/>
  <c r="AZ20" i="47"/>
  <c r="AY21" i="47"/>
  <c r="AX22" i="47"/>
  <c r="AW23" i="47"/>
  <c r="AL20" i="47"/>
  <c r="AK21" i="47"/>
  <c r="AJ22" i="47"/>
  <c r="AG23" i="47"/>
  <c r="AE20" i="47"/>
  <c r="AD21" i="47"/>
  <c r="AB22" i="47"/>
  <c r="Z23" i="47"/>
  <c r="Y20" i="47"/>
  <c r="T21" i="47"/>
  <c r="S22" i="47"/>
  <c r="R23" i="47"/>
  <c r="Q20" i="47"/>
  <c r="O21" i="47"/>
  <c r="CR35" i="47"/>
  <c r="CQ35" i="47"/>
  <c r="CN35" i="47"/>
  <c r="CM35" i="47"/>
  <c r="DS4" i="47"/>
  <c r="DN4" i="47"/>
  <c r="DI4" i="47"/>
  <c r="DD4" i="47"/>
  <c r="CX4" i="47"/>
  <c r="CR4" i="47"/>
  <c r="CM4" i="47"/>
  <c r="BU15" i="47"/>
  <c r="BT15" i="47"/>
  <c r="BO18" i="47"/>
  <c r="BM18" i="47"/>
  <c r="BL18" i="47"/>
  <c r="BK17" i="47"/>
  <c r="BJ17" i="47"/>
  <c r="BH17" i="47"/>
  <c r="BG16" i="47"/>
  <c r="BF16" i="47"/>
  <c r="BE16" i="47"/>
  <c r="BD15" i="47"/>
  <c r="BC15" i="47"/>
  <c r="BB15" i="47"/>
  <c r="AL18" i="47"/>
  <c r="AK18" i="47"/>
  <c r="AJ18" i="47"/>
  <c r="AG17" i="47"/>
  <c r="AE17" i="47"/>
  <c r="AD17" i="47"/>
  <c r="AB16" i="47"/>
  <c r="Z16" i="47"/>
  <c r="Y16" i="47"/>
  <c r="T15" i="47"/>
  <c r="S15" i="47"/>
  <c r="K292" i="46"/>
  <c r="K290" i="46"/>
  <c r="K288" i="46"/>
  <c r="K286" i="46"/>
  <c r="K284" i="46"/>
  <c r="K282" i="46"/>
  <c r="K280" i="46"/>
  <c r="K278" i="46"/>
  <c r="K276" i="46"/>
  <c r="K274" i="46"/>
  <c r="K272" i="46"/>
  <c r="K270" i="46"/>
  <c r="K268" i="46"/>
  <c r="K266" i="46"/>
  <c r="K264" i="46"/>
  <c r="K262" i="46"/>
  <c r="K260" i="46"/>
  <c r="K258" i="46"/>
  <c r="K256" i="46"/>
  <c r="K254" i="46"/>
  <c r="K252" i="46"/>
  <c r="K250" i="46"/>
  <c r="K248" i="46"/>
  <c r="K246" i="46"/>
  <c r="K244" i="46"/>
  <c r="K242" i="46"/>
  <c r="K240" i="46"/>
  <c r="K238" i="46"/>
  <c r="K236" i="46"/>
  <c r="K234" i="46"/>
  <c r="K232" i="46"/>
  <c r="K230" i="46"/>
  <c r="K228" i="46"/>
  <c r="K226" i="46"/>
  <c r="K224" i="46"/>
  <c r="K222" i="46"/>
  <c r="K220" i="46"/>
  <c r="K218" i="46"/>
  <c r="K216" i="46"/>
  <c r="K214" i="46"/>
  <c r="K212" i="46"/>
  <c r="K210" i="46"/>
  <c r="K208" i="46"/>
  <c r="K206" i="46"/>
  <c r="K204" i="46"/>
  <c r="K202" i="46"/>
  <c r="K200" i="46"/>
  <c r="K198" i="46"/>
  <c r="K196" i="46"/>
  <c r="K194" i="46"/>
  <c r="AS189" i="46"/>
  <c r="K192" i="46"/>
  <c r="F187" i="46"/>
  <c r="J188" i="46" s="1"/>
  <c r="AS185" i="46"/>
  <c r="BY63" i="47" s="1"/>
  <c r="I185" i="46"/>
  <c r="X182" i="46"/>
  <c r="AF60" i="47" s="1"/>
  <c r="T181" i="46"/>
  <c r="AA58" i="47" s="1"/>
  <c r="T180" i="46"/>
  <c r="AA57" i="47" s="1"/>
  <c r="V179" i="46"/>
  <c r="AC56" i="47" s="1"/>
  <c r="J179" i="46"/>
  <c r="BW56" i="47" s="1"/>
  <c r="X178" i="46"/>
  <c r="AF55" i="47" s="1"/>
  <c r="AP177" i="46"/>
  <c r="U177" i="46"/>
  <c r="T175" i="46"/>
  <c r="AA51" i="47" s="1"/>
  <c r="I174" i="46"/>
  <c r="I169" i="46"/>
  <c r="AT168" i="46"/>
  <c r="BZ42" i="47" s="1"/>
  <c r="AC168" i="46"/>
  <c r="Q42" i="47" s="1"/>
  <c r="F168" i="46"/>
  <c r="K169" i="46" s="1"/>
  <c r="BX43" i="47" s="1"/>
  <c r="AS167" i="46"/>
  <c r="BY41" i="47" s="1"/>
  <c r="U167" i="46"/>
  <c r="X167" i="46"/>
  <c r="AF41" i="47" s="1"/>
  <c r="T166" i="46"/>
  <c r="AA40" i="47" s="1"/>
  <c r="K166" i="46"/>
  <c r="BX40" i="47" s="1"/>
  <c r="AT162" i="46"/>
  <c r="BZ35" i="47" s="1"/>
  <c r="J164" i="46"/>
  <c r="BW37" i="47" s="1"/>
  <c r="AS160" i="46"/>
  <c r="BY32" i="47" s="1"/>
  <c r="AS155" i="46"/>
  <c r="BY26" i="47" s="1"/>
  <c r="AT155" i="46"/>
  <c r="BZ26" i="47" s="1"/>
  <c r="AS154" i="46"/>
  <c r="BY25" i="47" s="1"/>
  <c r="K153" i="46"/>
  <c r="BX23" i="47" s="1"/>
  <c r="AT145" i="46"/>
  <c r="AS144" i="46"/>
  <c r="AT142" i="46"/>
  <c r="B139" i="46"/>
  <c r="B138" i="46"/>
  <c r="J140" i="46"/>
  <c r="AT139" i="46"/>
  <c r="J138" i="46"/>
  <c r="K138" i="46"/>
  <c r="J137" i="46"/>
  <c r="K126" i="46"/>
  <c r="AS125" i="46"/>
  <c r="K125" i="46"/>
  <c r="AT124" i="46"/>
  <c r="AS126" i="46"/>
  <c r="AT126" i="46"/>
  <c r="AS119" i="46"/>
  <c r="J121" i="46"/>
  <c r="J117" i="46"/>
  <c r="B117" i="46"/>
  <c r="A117" i="46" s="1"/>
  <c r="A116" i="46"/>
  <c r="AT116" i="46"/>
  <c r="AS117" i="46"/>
  <c r="AS118" i="46"/>
  <c r="K117" i="46"/>
  <c r="AT109" i="46"/>
  <c r="AT110" i="46"/>
  <c r="AT107" i="46"/>
  <c r="AS104" i="46"/>
  <c r="AT105" i="46"/>
  <c r="K102" i="46"/>
  <c r="AT98" i="46"/>
  <c r="B96" i="46"/>
  <c r="A95" i="46"/>
  <c r="AS94" i="46"/>
  <c r="J91" i="46"/>
  <c r="A91" i="46"/>
  <c r="K85" i="46"/>
  <c r="J85" i="46"/>
  <c r="B76" i="46"/>
  <c r="A75" i="46"/>
  <c r="B52" i="46"/>
  <c r="B33" i="46"/>
  <c r="A33" i="46" s="1"/>
  <c r="A23" i="46"/>
  <c r="B24" i="46"/>
  <c r="A7" i="46"/>
  <c r="B8" i="46"/>
  <c r="K189" i="46"/>
  <c r="Q185" i="46"/>
  <c r="AS186" i="46"/>
  <c r="BY65" i="47" s="1"/>
  <c r="J186" i="46"/>
  <c r="BW65" i="47" s="1"/>
  <c r="K175" i="46"/>
  <c r="BX51" i="47" s="1"/>
  <c r="T168" i="46"/>
  <c r="AA42" i="47" s="1"/>
  <c r="Y168" i="46"/>
  <c r="X168" i="46"/>
  <c r="AF42" i="47" s="1"/>
  <c r="AT164" i="46"/>
  <c r="BZ37" i="47" s="1"/>
  <c r="AS164" i="46"/>
  <c r="BY37" i="47" s="1"/>
  <c r="K163" i="46"/>
  <c r="BX36" i="47" s="1"/>
  <c r="AS159" i="46"/>
  <c r="BY31" i="47" s="1"/>
  <c r="AT159" i="46"/>
  <c r="BZ31" i="47" s="1"/>
  <c r="AS158" i="46"/>
  <c r="BY30" i="47" s="1"/>
  <c r="AS151" i="46"/>
  <c r="BY21" i="47" s="1"/>
  <c r="AT151" i="46"/>
  <c r="BZ21" i="47" s="1"/>
  <c r="J150" i="46"/>
  <c r="BW20" i="47" s="1"/>
  <c r="K150" i="46"/>
  <c r="BX20" i="47" s="1"/>
  <c r="J149" i="46"/>
  <c r="BW18" i="47" s="1"/>
  <c r="AT141" i="46"/>
  <c r="AS140" i="46"/>
  <c r="AT138" i="46"/>
  <c r="AT135" i="46"/>
  <c r="J134" i="46"/>
  <c r="K134" i="46"/>
  <c r="J133" i="46"/>
  <c r="J131" i="46"/>
  <c r="AS127" i="46"/>
  <c r="AS128" i="46"/>
  <c r="AT119" i="46"/>
  <c r="AS120" i="46"/>
  <c r="K113" i="46"/>
  <c r="K115" i="46"/>
  <c r="J116" i="46"/>
  <c r="J103" i="46"/>
  <c r="K103" i="46"/>
  <c r="J104" i="46"/>
  <c r="K101" i="46"/>
  <c r="J101" i="46"/>
  <c r="J95" i="46"/>
  <c r="A87" i="46"/>
  <c r="B88" i="46"/>
  <c r="J74" i="46"/>
  <c r="J73" i="46"/>
  <c r="A44" i="46"/>
  <c r="B45" i="46"/>
  <c r="A45" i="46" s="1"/>
  <c r="A36" i="46"/>
  <c r="B37" i="46"/>
  <c r="A37" i="46" s="1"/>
  <c r="O16" i="47"/>
  <c r="Q15" i="47"/>
  <c r="R18" i="47"/>
  <c r="S17" i="47"/>
  <c r="T16" i="47"/>
  <c r="Y15" i="47"/>
  <c r="Z18" i="47"/>
  <c r="AB17" i="47"/>
  <c r="AD16" i="47"/>
  <c r="AE15" i="47"/>
  <c r="AG18" i="47"/>
  <c r="AJ17" i="47"/>
  <c r="AK16" i="47"/>
  <c r="AL15" i="47"/>
  <c r="AW18" i="47"/>
  <c r="AX17" i="47"/>
  <c r="AY16" i="47"/>
  <c r="AZ15" i="47"/>
  <c r="BB18" i="47"/>
  <c r="BC17" i="47"/>
  <c r="BD16" i="47"/>
  <c r="BE15" i="47"/>
  <c r="BF18" i="47"/>
  <c r="BG17" i="47"/>
  <c r="BH16" i="47"/>
  <c r="BJ15" i="47"/>
  <c r="BK18" i="47"/>
  <c r="BL17" i="47"/>
  <c r="BM16" i="47"/>
  <c r="BO15" i="47"/>
  <c r="BP18" i="47"/>
  <c r="BQ17" i="47"/>
  <c r="BR16" i="47"/>
  <c r="BS15" i="47"/>
  <c r="BT18" i="47"/>
  <c r="BU17" i="47"/>
  <c r="DF5" i="47"/>
  <c r="BS17" i="47"/>
  <c r="BR17" i="47"/>
  <c r="BQ16" i="47"/>
  <c r="BP16" i="47"/>
  <c r="BO16" i="47"/>
  <c r="BM15" i="47"/>
  <c r="BL15" i="47"/>
  <c r="BK15" i="47"/>
  <c r="BE18" i="47"/>
  <c r="BD18" i="47"/>
  <c r="BC18" i="47"/>
  <c r="BB17" i="47"/>
  <c r="AZ17" i="47"/>
  <c r="AY17" i="47"/>
  <c r="AX16" i="47"/>
  <c r="AW16" i="47"/>
  <c r="AL16" i="47"/>
  <c r="AK15" i="47"/>
  <c r="AJ15" i="47"/>
  <c r="AG15" i="47"/>
  <c r="Y18" i="47"/>
  <c r="T18" i="47"/>
  <c r="S18" i="47"/>
  <c r="R17" i="47"/>
  <c r="Q17" i="47"/>
  <c r="O17" i="47"/>
  <c r="AS292" i="46"/>
  <c r="AS290" i="46"/>
  <c r="K293" i="46"/>
  <c r="AS288" i="46"/>
  <c r="K291" i="46"/>
  <c r="AS286" i="46"/>
  <c r="K289" i="46"/>
  <c r="AS284" i="46"/>
  <c r="K287" i="46"/>
  <c r="AS282" i="46"/>
  <c r="K285" i="46"/>
  <c r="AS280" i="46"/>
  <c r="K283" i="46"/>
  <c r="AS278" i="46"/>
  <c r="K281" i="46"/>
  <c r="AS276" i="46"/>
  <c r="K279" i="46"/>
  <c r="AS274" i="46"/>
  <c r="K277" i="46"/>
  <c r="AS272" i="46"/>
  <c r="K275" i="46"/>
  <c r="AS270" i="46"/>
  <c r="K273" i="46"/>
  <c r="AS268" i="46"/>
  <c r="K271" i="46"/>
  <c r="AS266" i="46"/>
  <c r="K269" i="46"/>
  <c r="AS264" i="46"/>
  <c r="K267" i="46"/>
  <c r="AS262" i="46"/>
  <c r="K265" i="46"/>
  <c r="AS260" i="46"/>
  <c r="K263" i="46"/>
  <c r="AS258" i="46"/>
  <c r="K261" i="46"/>
  <c r="AS256" i="46"/>
  <c r="K259" i="46"/>
  <c r="AS254" i="46"/>
  <c r="K257" i="46"/>
  <c r="AS252" i="46"/>
  <c r="K255" i="46"/>
  <c r="AS250" i="46"/>
  <c r="K253" i="46"/>
  <c r="AS248" i="46"/>
  <c r="K251" i="46"/>
  <c r="AS246" i="46"/>
  <c r="K249" i="46"/>
  <c r="AS244" i="46"/>
  <c r="K247" i="46"/>
  <c r="AS242" i="46"/>
  <c r="K245" i="46"/>
  <c r="AS240" i="46"/>
  <c r="K243" i="46"/>
  <c r="AS238" i="46"/>
  <c r="K241" i="46"/>
  <c r="AS236" i="46"/>
  <c r="K239" i="46"/>
  <c r="AS234" i="46"/>
  <c r="K237" i="46"/>
  <c r="AS232" i="46"/>
  <c r="K235" i="46"/>
  <c r="AS230" i="46"/>
  <c r="K233" i="46"/>
  <c r="AS228" i="46"/>
  <c r="K231" i="46"/>
  <c r="AS226" i="46"/>
  <c r="K229" i="46"/>
  <c r="AS224" i="46"/>
  <c r="K227" i="46"/>
  <c r="AS222" i="46"/>
  <c r="K225" i="46"/>
  <c r="AS220" i="46"/>
  <c r="K223" i="46"/>
  <c r="AS218" i="46"/>
  <c r="K221" i="46"/>
  <c r="AS216" i="46"/>
  <c r="K219" i="46"/>
  <c r="AS214" i="46"/>
  <c r="K217" i="46"/>
  <c r="AS212" i="46"/>
  <c r="K215" i="46"/>
  <c r="AS210" i="46"/>
  <c r="K213" i="46"/>
  <c r="AS208" i="46"/>
  <c r="K211" i="46"/>
  <c r="AS206" i="46"/>
  <c r="K209" i="46"/>
  <c r="AS204" i="46"/>
  <c r="K207" i="46"/>
  <c r="AS202" i="46"/>
  <c r="K205" i="46"/>
  <c r="AS200" i="46"/>
  <c r="K203" i="46"/>
  <c r="AS198" i="46"/>
  <c r="K201" i="46"/>
  <c r="AS196" i="46"/>
  <c r="K199" i="46"/>
  <c r="AS194" i="46"/>
  <c r="K197" i="46"/>
  <c r="AS192" i="46"/>
  <c r="K195" i="46"/>
  <c r="K193" i="46"/>
  <c r="J189" i="46"/>
  <c r="K191" i="46"/>
  <c r="K185" i="46"/>
  <c r="BX63" i="47" s="1"/>
  <c r="A185" i="46"/>
  <c r="K184" i="46"/>
  <c r="BX62" i="47" s="1"/>
  <c r="T183" i="46"/>
  <c r="AA61" i="47" s="1"/>
  <c r="AC181" i="46"/>
  <c r="Q58" i="47" s="1"/>
  <c r="AP178" i="46"/>
  <c r="U178" i="46"/>
  <c r="AS176" i="46"/>
  <c r="BY52" i="47" s="1"/>
  <c r="K174" i="46"/>
  <c r="BX50" i="47" s="1"/>
  <c r="K177" i="46"/>
  <c r="BX53" i="47" s="1"/>
  <c r="AT169" i="46"/>
  <c r="BZ43" i="47" s="1"/>
  <c r="J161" i="46"/>
  <c r="BW33" i="47" s="1"/>
  <c r="K161" i="46"/>
  <c r="BX33" i="47" s="1"/>
  <c r="K158" i="46"/>
  <c r="BX30" i="47" s="1"/>
  <c r="K156" i="46"/>
  <c r="BX27" i="47" s="1"/>
  <c r="K155" i="46"/>
  <c r="BX26" i="47" s="1"/>
  <c r="J156" i="46"/>
  <c r="BW27" i="47" s="1"/>
  <c r="K151" i="46"/>
  <c r="BX21" i="47" s="1"/>
  <c r="K148" i="46"/>
  <c r="BX17" i="47" s="1"/>
  <c r="AT150" i="46"/>
  <c r="BZ20" i="47" s="1"/>
  <c r="J148" i="46"/>
  <c r="BW17" i="47" s="1"/>
  <c r="AT147" i="46"/>
  <c r="BZ16" i="47" s="1"/>
  <c r="J146" i="46"/>
  <c r="BW15" i="47" s="1"/>
  <c r="K146" i="46"/>
  <c r="BX15" i="47" s="1"/>
  <c r="J145" i="46"/>
  <c r="K135" i="46"/>
  <c r="AT137" i="46"/>
  <c r="AS136" i="46"/>
  <c r="K132" i="46"/>
  <c r="AT134" i="46"/>
  <c r="AT131" i="46"/>
  <c r="AT127" i="46"/>
  <c r="J130" i="46"/>
  <c r="K130" i="46"/>
  <c r="AT122" i="46"/>
  <c r="AS123" i="46"/>
  <c r="AS122" i="46"/>
  <c r="AT118" i="46"/>
  <c r="J118" i="46"/>
  <c r="J119" i="46"/>
  <c r="K120" i="46"/>
  <c r="K114" i="46"/>
  <c r="AT111" i="46"/>
  <c r="AS112" i="46"/>
  <c r="AS111" i="46"/>
  <c r="K107" i="46"/>
  <c r="J107" i="46"/>
  <c r="AT103" i="46"/>
  <c r="AT101" i="46"/>
  <c r="AS103" i="46"/>
  <c r="J100" i="46"/>
  <c r="A100" i="46"/>
  <c r="AS99" i="46"/>
  <c r="K99" i="46"/>
  <c r="AS97" i="46"/>
  <c r="K97" i="46"/>
  <c r="J98" i="46"/>
  <c r="K98" i="46"/>
  <c r="J99" i="46"/>
  <c r="AT95" i="46"/>
  <c r="AS96" i="46"/>
  <c r="K93" i="46"/>
  <c r="K94" i="46"/>
  <c r="J92" i="46"/>
  <c r="J87" i="46"/>
  <c r="K88" i="46"/>
  <c r="A84" i="46"/>
  <c r="K86" i="46"/>
  <c r="A80" i="46"/>
  <c r="B81" i="46"/>
  <c r="A81" i="46" s="1"/>
  <c r="B60" i="46"/>
  <c r="B56" i="46"/>
  <c r="A20" i="46"/>
  <c r="B21" i="46"/>
  <c r="A21" i="46" s="1"/>
  <c r="A16" i="46"/>
  <c r="AD42" i="47"/>
  <c r="CQ39" i="47"/>
  <c r="DY7" i="47"/>
  <c r="DO7" i="47"/>
  <c r="DJ7" i="47"/>
  <c r="DE7" i="47"/>
  <c r="CZ7" i="47"/>
  <c r="CU7" i="47"/>
  <c r="CO7" i="47"/>
  <c r="BU33" i="47"/>
  <c r="BT30" i="47"/>
  <c r="BS31" i="47"/>
  <c r="BR32" i="47"/>
  <c r="BQ33" i="47"/>
  <c r="BP30" i="47"/>
  <c r="BO31" i="47"/>
  <c r="BM32" i="47"/>
  <c r="BL33" i="47"/>
  <c r="BK30" i="47"/>
  <c r="BJ31" i="47"/>
  <c r="BH32" i="47"/>
  <c r="BG33" i="47"/>
  <c r="BF30" i="47"/>
  <c r="BE31" i="47"/>
  <c r="BD32" i="47"/>
  <c r="BC33" i="47"/>
  <c r="BB30" i="47"/>
  <c r="AZ31" i="47"/>
  <c r="AY32" i="47"/>
  <c r="AX33" i="47"/>
  <c r="AW30" i="47"/>
  <c r="AL31" i="47"/>
  <c r="AK32" i="47"/>
  <c r="AJ33" i="47"/>
  <c r="AG30" i="47"/>
  <c r="AE31" i="47"/>
  <c r="AD32" i="47"/>
  <c r="AB33" i="47"/>
  <c r="Z30" i="47"/>
  <c r="Y31" i="47"/>
  <c r="T32" i="47"/>
  <c r="S33" i="47"/>
  <c r="R30" i="47"/>
  <c r="Q31" i="47"/>
  <c r="O32" i="47"/>
  <c r="CQ38" i="47"/>
  <c r="DY6" i="47"/>
  <c r="DO6" i="47"/>
  <c r="DJ6" i="47"/>
  <c r="DE6" i="47"/>
  <c r="CZ6" i="47"/>
  <c r="CU6" i="47"/>
  <c r="CO6" i="47"/>
  <c r="BU28" i="47"/>
  <c r="BT25" i="47"/>
  <c r="BS26" i="47"/>
  <c r="BR27" i="47"/>
  <c r="BQ28" i="47"/>
  <c r="BP25" i="47"/>
  <c r="BO26" i="47"/>
  <c r="BM27" i="47"/>
  <c r="BL28" i="47"/>
  <c r="BK25" i="47"/>
  <c r="BJ26" i="47"/>
  <c r="BH27" i="47"/>
  <c r="BG28" i="47"/>
  <c r="BF25" i="47"/>
  <c r="BE26" i="47"/>
  <c r="BD27" i="47"/>
  <c r="BC28" i="47"/>
  <c r="BB25" i="47"/>
  <c r="AZ26" i="47"/>
  <c r="AY27" i="47"/>
  <c r="AX28" i="47"/>
  <c r="AW25" i="47"/>
  <c r="AL26" i="47"/>
  <c r="AK27" i="47"/>
  <c r="AJ28" i="47"/>
  <c r="AG25" i="47"/>
  <c r="AE26" i="47"/>
  <c r="AD27" i="47"/>
  <c r="AB28" i="47"/>
  <c r="Z25" i="47"/>
  <c r="Y26" i="47"/>
  <c r="T27" i="47"/>
  <c r="S28" i="47"/>
  <c r="R25" i="47"/>
  <c r="Q26" i="47"/>
  <c r="O27" i="47"/>
  <c r="CQ37" i="47"/>
  <c r="DY5" i="47"/>
  <c r="DO5" i="47"/>
  <c r="DJ5" i="47"/>
  <c r="DE5" i="47"/>
  <c r="CZ5" i="47"/>
  <c r="CU5" i="47"/>
  <c r="CO5" i="47"/>
  <c r="BU23" i="47"/>
  <c r="BT20" i="47"/>
  <c r="BS21" i="47"/>
  <c r="BR22" i="47"/>
  <c r="BQ23" i="47"/>
  <c r="BP20" i="47"/>
  <c r="BO21" i="47"/>
  <c r="BM22" i="47"/>
  <c r="BL23" i="47"/>
  <c r="BK20" i="47"/>
  <c r="BJ21" i="47"/>
  <c r="BH22" i="47"/>
  <c r="BG23" i="47"/>
  <c r="BF20" i="47"/>
  <c r="BE21" i="47"/>
  <c r="BD22" i="47"/>
  <c r="BC23" i="47"/>
  <c r="BB20" i="47"/>
  <c r="AZ21" i="47"/>
  <c r="AY22" i="47"/>
  <c r="AX23" i="47"/>
  <c r="AW20" i="47"/>
  <c r="AL21" i="47"/>
  <c r="AK22" i="47"/>
  <c r="AJ23" i="47"/>
  <c r="AG20" i="47"/>
  <c r="AE21" i="47"/>
  <c r="AD22" i="47"/>
  <c r="AB23" i="47"/>
  <c r="Z20" i="47"/>
  <c r="Y21" i="47"/>
  <c r="T22" i="47"/>
  <c r="S23" i="47"/>
  <c r="R20" i="47"/>
  <c r="Q21" i="47"/>
  <c r="O22" i="47"/>
  <c r="CS35" i="47"/>
  <c r="CO35" i="47"/>
  <c r="DY4" i="47"/>
  <c r="DO4" i="47"/>
  <c r="DJ4" i="47"/>
  <c r="DE4" i="47"/>
  <c r="CZ4" i="47"/>
  <c r="CS4" i="47"/>
  <c r="CN4" i="47"/>
  <c r="BU16" i="47"/>
  <c r="BT16" i="47"/>
  <c r="BS16" i="47"/>
  <c r="BR15" i="47"/>
  <c r="BQ15" i="47"/>
  <c r="BP15" i="47"/>
  <c r="BJ18" i="47"/>
  <c r="BH18" i="47"/>
  <c r="BG18" i="47"/>
  <c r="BF17" i="47"/>
  <c r="BE17" i="47"/>
  <c r="BD17" i="47"/>
  <c r="BC16" i="47"/>
  <c r="BB16" i="47"/>
  <c r="AZ16" i="47"/>
  <c r="AY15" i="47"/>
  <c r="AX15" i="47"/>
  <c r="AW15" i="47"/>
  <c r="AE18" i="47"/>
  <c r="AD18" i="47"/>
  <c r="AB18" i="47"/>
  <c r="Z17" i="47"/>
  <c r="Y17" i="47"/>
  <c r="T17" i="47"/>
  <c r="S16" i="47"/>
  <c r="R16" i="47"/>
  <c r="Q16" i="47"/>
  <c r="O15" i="47"/>
  <c r="F15" i="47"/>
  <c r="K187" i="46"/>
  <c r="BX66" i="47" s="1"/>
  <c r="AT186" i="46"/>
  <c r="BZ65" i="47" s="1"/>
  <c r="AC186" i="46"/>
  <c r="Q65" i="47" s="1"/>
  <c r="J185" i="46"/>
  <c r="BW63" i="47" s="1"/>
  <c r="J187" i="46"/>
  <c r="BW66" i="47" s="1"/>
  <c r="Y182" i="46"/>
  <c r="V181" i="46"/>
  <c r="AC58" i="47" s="1"/>
  <c r="AT183" i="46"/>
  <c r="BZ61" i="47" s="1"/>
  <c r="AC180" i="46"/>
  <c r="Q57" i="47" s="1"/>
  <c r="AC179" i="46"/>
  <c r="Q56" i="47" s="1"/>
  <c r="T178" i="46"/>
  <c r="AA55" i="47" s="1"/>
  <c r="T176" i="46"/>
  <c r="AA52" i="47" s="1"/>
  <c r="Y176" i="46"/>
  <c r="AC175" i="46"/>
  <c r="Q51" i="47" s="1"/>
  <c r="J175" i="46"/>
  <c r="BW51" i="47" s="1"/>
  <c r="J176" i="46"/>
  <c r="BW52" i="47" s="1"/>
  <c r="AP170" i="46"/>
  <c r="AS171" i="46" s="1"/>
  <c r="BY46" i="47" s="1"/>
  <c r="F170" i="46"/>
  <c r="AS169" i="46"/>
  <c r="BY43" i="47" s="1"/>
  <c r="AT170" i="46"/>
  <c r="BZ45" i="47" s="1"/>
  <c r="J167" i="46"/>
  <c r="BW41" i="47" s="1"/>
  <c r="K167" i="46"/>
  <c r="BX41" i="47" s="1"/>
  <c r="J163" i="46"/>
  <c r="BW36" i="47" s="1"/>
  <c r="K162" i="46"/>
  <c r="BX35" i="47" s="1"/>
  <c r="K160" i="46"/>
  <c r="BX32" i="47" s="1"/>
  <c r="K159" i="46"/>
  <c r="BX31" i="47" s="1"/>
  <c r="J158" i="46"/>
  <c r="BW30" i="47" s="1"/>
  <c r="AT157" i="46"/>
  <c r="BZ28" i="47" s="1"/>
  <c r="J160" i="46"/>
  <c r="BW32" i="47" s="1"/>
  <c r="J155" i="46"/>
  <c r="BW26" i="47" s="1"/>
  <c r="AS156" i="46"/>
  <c r="BY27" i="47" s="1"/>
  <c r="AT152" i="46"/>
  <c r="BZ22" i="47" s="1"/>
  <c r="K149" i="46"/>
  <c r="BX18" i="47" s="1"/>
  <c r="K147" i="46"/>
  <c r="BX16" i="47" s="1"/>
  <c r="AT149" i="46"/>
  <c r="BZ18" i="47" s="1"/>
  <c r="AS148" i="46"/>
  <c r="BY17" i="47" s="1"/>
  <c r="K144" i="46"/>
  <c r="AT146" i="46"/>
  <c r="BZ15" i="47" s="1"/>
  <c r="AS141" i="46"/>
  <c r="J144" i="46"/>
  <c r="AT143" i="46"/>
  <c r="AS139" i="46"/>
  <c r="J142" i="46"/>
  <c r="K142" i="46"/>
  <c r="J141" i="46"/>
  <c r="K133" i="46"/>
  <c r="K131" i="46"/>
  <c r="AT133" i="46"/>
  <c r="AS132" i="46"/>
  <c r="J128" i="46"/>
  <c r="AT130" i="46"/>
  <c r="A127" i="46"/>
  <c r="B128" i="46"/>
  <c r="AS129" i="46"/>
  <c r="K128" i="46"/>
  <c r="J127" i="46"/>
  <c r="AT123" i="46"/>
  <c r="J123" i="46"/>
  <c r="AS121" i="46"/>
  <c r="K121" i="46"/>
  <c r="K123" i="46"/>
  <c r="AT115" i="46"/>
  <c r="J115" i="46"/>
  <c r="AT114" i="46"/>
  <c r="AS113" i="46"/>
  <c r="K105" i="46"/>
  <c r="J106" i="46"/>
  <c r="AT102" i="46"/>
  <c r="J102" i="46"/>
  <c r="AT94" i="46"/>
  <c r="J94" i="46"/>
  <c r="K96" i="46"/>
  <c r="K92" i="46"/>
  <c r="K91" i="46"/>
  <c r="A92" i="46"/>
  <c r="B93" i="46"/>
  <c r="A93" i="46" s="1"/>
  <c r="AT92" i="46"/>
  <c r="AS93" i="46"/>
  <c r="J90" i="46"/>
  <c r="J86" i="46"/>
  <c r="J80" i="46"/>
  <c r="J78" i="46"/>
  <c r="A47" i="46"/>
  <c r="B48" i="46"/>
  <c r="AF169" i="46"/>
  <c r="AJ43" i="47" s="1"/>
  <c r="AS165" i="46"/>
  <c r="BY38" i="47" s="1"/>
  <c r="AS166" i="46"/>
  <c r="BY40" i="47" s="1"/>
  <c r="AS161" i="46"/>
  <c r="BY33" i="47" s="1"/>
  <c r="AS157" i="46"/>
  <c r="BY28" i="47" s="1"/>
  <c r="AS152" i="46"/>
  <c r="BY22" i="47" s="1"/>
  <c r="J151" i="46"/>
  <c r="BW21" i="47" s="1"/>
  <c r="AT148" i="46"/>
  <c r="BZ17" i="47" s="1"/>
  <c r="J147" i="46"/>
  <c r="BW16" i="47" s="1"/>
  <c r="AT144" i="46"/>
  <c r="J143" i="46"/>
  <c r="AT140" i="46"/>
  <c r="J139" i="46"/>
  <c r="AT136" i="46"/>
  <c r="J135" i="46"/>
  <c r="AT132" i="46"/>
  <c r="J132" i="46"/>
  <c r="AT121" i="46"/>
  <c r="J114" i="46"/>
  <c r="J113" i="46"/>
  <c r="K112" i="46"/>
  <c r="AT106" i="46"/>
  <c r="AS107" i="46"/>
  <c r="AT100" i="46"/>
  <c r="AS101" i="46"/>
  <c r="AS102" i="46"/>
  <c r="J89" i="46"/>
  <c r="J82" i="46"/>
  <c r="K83" i="46"/>
  <c r="A39" i="46"/>
  <c r="B40" i="46"/>
  <c r="EE4" i="47" l="1"/>
  <c r="AS172" i="46"/>
  <c r="BY47" i="47" s="1"/>
  <c r="X181" i="46"/>
  <c r="AF58" i="47" s="1"/>
  <c r="Y181" i="46"/>
  <c r="Y58" i="47"/>
  <c r="AD58" i="47"/>
  <c r="EA39" i="47"/>
  <c r="A28" i="46"/>
  <c r="B29" i="46"/>
  <c r="A29" i="46" s="1"/>
  <c r="B121" i="46"/>
  <c r="A121" i="46" s="1"/>
  <c r="A120" i="46"/>
  <c r="DF41" i="47"/>
  <c r="BF62" i="47"/>
  <c r="B201" i="46"/>
  <c r="A197" i="46"/>
  <c r="V171" i="46"/>
  <c r="AC46" i="47" s="1"/>
  <c r="AB46" i="47"/>
  <c r="AT189" i="46"/>
  <c r="BF65" i="47"/>
  <c r="DF43" i="47"/>
  <c r="Y184" i="46"/>
  <c r="AC184" i="46"/>
  <c r="Q62" i="47" s="1"/>
  <c r="AD62" i="47"/>
  <c r="V184" i="46"/>
  <c r="AC62" i="47" s="1"/>
  <c r="X184" i="46"/>
  <c r="AF62" i="47" s="1"/>
  <c r="R62" i="47"/>
  <c r="EA42" i="47"/>
  <c r="Y62" i="47"/>
  <c r="X179" i="46"/>
  <c r="AF56" i="47" s="1"/>
  <c r="Y179" i="46"/>
  <c r="EA37" i="47"/>
  <c r="T179" i="46"/>
  <c r="AA56" i="47" s="1"/>
  <c r="R56" i="47"/>
  <c r="Y56" i="47"/>
  <c r="A12" i="46"/>
  <c r="B13" i="46"/>
  <c r="A13" i="46" s="1"/>
  <c r="Z171" i="46"/>
  <c r="AH46" i="47" s="1"/>
  <c r="AG46" i="47"/>
  <c r="DZ29" i="47"/>
  <c r="CK8" i="47"/>
  <c r="CL8" i="47" s="1"/>
  <c r="CI12" i="47"/>
  <c r="EJ15" i="47"/>
  <c r="EH4" i="47"/>
  <c r="EI4" i="47"/>
  <c r="ED10" i="47"/>
  <c r="EF10" i="47" s="1"/>
  <c r="EE23" i="47"/>
  <c r="ED6" i="47"/>
  <c r="EF6" i="47" s="1"/>
  <c r="ED7" i="47"/>
  <c r="EF7" i="47" s="1"/>
  <c r="A60" i="46"/>
  <c r="B61" i="46"/>
  <c r="A61" i="46" s="1"/>
  <c r="Z176" i="46"/>
  <c r="AH52" i="47" s="1"/>
  <c r="DZ34" i="47"/>
  <c r="AG52" i="47"/>
  <c r="AS181" i="46"/>
  <c r="BY58" i="47" s="1"/>
  <c r="AT181" i="46"/>
  <c r="BZ58" i="47" s="1"/>
  <c r="BF55" i="47"/>
  <c r="DF35" i="47"/>
  <c r="B89" i="46"/>
  <c r="A89" i="46" s="1"/>
  <c r="A88" i="46"/>
  <c r="Z168" i="46"/>
  <c r="AH42" i="47" s="1"/>
  <c r="AG42" i="47"/>
  <c r="DZ26" i="47"/>
  <c r="B25" i="46"/>
  <c r="A25" i="46" s="1"/>
  <c r="A24" i="46"/>
  <c r="A96" i="46"/>
  <c r="B97" i="46"/>
  <c r="A97" i="46" s="1"/>
  <c r="A138" i="46"/>
  <c r="B142" i="46"/>
  <c r="AT180" i="46"/>
  <c r="BZ57" i="47" s="1"/>
  <c r="AS180" i="46"/>
  <c r="BY57" i="47" s="1"/>
  <c r="DF34" i="47"/>
  <c r="CJ9" i="47"/>
  <c r="CJ6" i="47"/>
  <c r="EE5" i="47"/>
  <c r="ED19" i="47"/>
  <c r="EF19" i="47" s="1"/>
  <c r="EI6" i="47"/>
  <c r="EI17" i="47"/>
  <c r="AT179" i="46"/>
  <c r="BZ56" i="47" s="1"/>
  <c r="ED4" i="47"/>
  <c r="EF4" i="47" s="1"/>
  <c r="A40" i="46"/>
  <c r="B41" i="46"/>
  <c r="A41" i="46" s="1"/>
  <c r="AT177" i="46"/>
  <c r="BZ53" i="47" s="1"/>
  <c r="EH6" i="47"/>
  <c r="EH17" i="47"/>
  <c r="EH21" i="47"/>
  <c r="AT178" i="46"/>
  <c r="BZ55" i="47" s="1"/>
  <c r="AS178" i="46"/>
  <c r="BY55" i="47" s="1"/>
  <c r="A76" i="46"/>
  <c r="B77" i="46"/>
  <c r="A77" i="46" s="1"/>
  <c r="A139" i="46"/>
  <c r="B143" i="46"/>
  <c r="K171" i="46"/>
  <c r="BX46" i="47" s="1"/>
  <c r="J171" i="46"/>
  <c r="BW46" i="47" s="1"/>
  <c r="K190" i="46"/>
  <c r="J190" i="46"/>
  <c r="EI5" i="47"/>
  <c r="EI16" i="47"/>
  <c r="BF53" i="47"/>
  <c r="AS177" i="46"/>
  <c r="BY53" i="47" s="1"/>
  <c r="EE19" i="47"/>
  <c r="K168" i="46"/>
  <c r="BX42" i="47" s="1"/>
  <c r="CJ16" i="47"/>
  <c r="Z183" i="46"/>
  <c r="AH61" i="47" s="1"/>
  <c r="DZ41" i="47"/>
  <c r="AG61" i="47"/>
  <c r="A128" i="46"/>
  <c r="B132" i="46"/>
  <c r="B129" i="46"/>
  <c r="J172" i="46"/>
  <c r="BW47" i="47" s="1"/>
  <c r="K172" i="46"/>
  <c r="BX47" i="47" s="1"/>
  <c r="J173" i="46"/>
  <c r="BW48" i="47" s="1"/>
  <c r="K173" i="46"/>
  <c r="BX48" i="47" s="1"/>
  <c r="K170" i="46"/>
  <c r="BX45" i="47" s="1"/>
  <c r="K188" i="46"/>
  <c r="J170" i="46"/>
  <c r="BW45" i="47" s="1"/>
  <c r="Y185" i="46"/>
  <c r="T185" i="46"/>
  <c r="AA63" i="47" s="1"/>
  <c r="X185" i="46"/>
  <c r="AF63" i="47" s="1"/>
  <c r="AC185" i="46"/>
  <c r="Q63" i="47" s="1"/>
  <c r="R63" i="47"/>
  <c r="EA43" i="47"/>
  <c r="Y63" i="47"/>
  <c r="AD63" i="47"/>
  <c r="A8" i="46"/>
  <c r="B9" i="46"/>
  <c r="A9" i="46" s="1"/>
  <c r="ED18" i="47"/>
  <c r="EF18" i="47" s="1"/>
  <c r="EE7" i="47"/>
  <c r="ED21" i="47"/>
  <c r="EF21" i="47" s="1"/>
  <c r="ED23" i="47"/>
  <c r="EF23" i="47" s="1"/>
  <c r="Z186" i="46"/>
  <c r="AH65" i="47" s="1"/>
  <c r="DZ44" i="47"/>
  <c r="AG65" i="47"/>
  <c r="EE22" i="47"/>
  <c r="J169" i="46"/>
  <c r="BW43" i="47" s="1"/>
  <c r="ED22" i="47"/>
  <c r="EF22" i="47" s="1"/>
  <c r="B49" i="46"/>
  <c r="A49" i="46" s="1"/>
  <c r="A48" i="46"/>
  <c r="J168" i="46"/>
  <c r="BW42" i="47" s="1"/>
  <c r="BF45" i="47"/>
  <c r="DF27" i="47"/>
  <c r="AT172" i="46"/>
  <c r="BZ47" i="47" s="1"/>
  <c r="Z182" i="46"/>
  <c r="AH60" i="47" s="1"/>
  <c r="AG60" i="47"/>
  <c r="DZ40" i="47"/>
  <c r="F20" i="47"/>
  <c r="F16" i="47"/>
  <c r="E15" i="47"/>
  <c r="EH16" i="47"/>
  <c r="EH5" i="47"/>
  <c r="EH20" i="47"/>
  <c r="EH7" i="47"/>
  <c r="EH8" i="47"/>
  <c r="EH18" i="47"/>
  <c r="EH22" i="47"/>
  <c r="A56" i="46"/>
  <c r="B57" i="46"/>
  <c r="A57" i="46" s="1"/>
  <c r="AB55" i="47"/>
  <c r="V178" i="46"/>
  <c r="AC55" i="47" s="1"/>
  <c r="AS179" i="46"/>
  <c r="BY56" i="47" s="1"/>
  <c r="V185" i="46"/>
  <c r="AC63" i="47" s="1"/>
  <c r="A52" i="46"/>
  <c r="B53" i="46"/>
  <c r="A53" i="46" s="1"/>
  <c r="V167" i="46"/>
  <c r="AC41" i="47" s="1"/>
  <c r="AB41" i="47"/>
  <c r="V177" i="46"/>
  <c r="AC53" i="47" s="1"/>
  <c r="AB53" i="47"/>
  <c r="EE18" i="47"/>
  <c r="EE6" i="47"/>
  <c r="ED20" i="47"/>
  <c r="EF20" i="47" s="1"/>
  <c r="EI7" i="47"/>
  <c r="EI18" i="47"/>
  <c r="EI8" i="47"/>
  <c r="EI23" i="47"/>
  <c r="EJ23" i="47" s="1"/>
  <c r="EI19" i="47"/>
  <c r="EJ19" i="47" s="1"/>
  <c r="EI9" i="47"/>
  <c r="EJ9" i="47" s="1"/>
  <c r="EI20" i="47"/>
  <c r="EI10" i="47"/>
  <c r="EJ10" i="47" s="1"/>
  <c r="EI21" i="47"/>
  <c r="EI11" i="47"/>
  <c r="EJ11" i="47" s="1"/>
  <c r="EI12" i="47"/>
  <c r="EJ12" i="47" s="1"/>
  <c r="EI22" i="47"/>
  <c r="ED9" i="47"/>
  <c r="EF9" i="47" s="1"/>
  <c r="AT171" i="46"/>
  <c r="BZ46" i="47" s="1"/>
  <c r="AS170" i="46"/>
  <c r="BY45" i="47" s="1"/>
  <c r="ED5" i="47"/>
  <c r="EF5" i="47" s="1"/>
  <c r="CP59" i="47"/>
  <c r="ED8" i="47"/>
  <c r="EF8" i="47" s="1"/>
  <c r="ED11" i="47"/>
  <c r="EF11" i="47" s="1"/>
  <c r="EJ16" i="47" l="1"/>
  <c r="EJ6" i="47"/>
  <c r="CI16" i="47"/>
  <c r="CK12" i="47"/>
  <c r="CL12" i="47" s="1"/>
  <c r="Z184" i="46"/>
  <c r="AH62" i="47" s="1"/>
  <c r="AG62" i="47"/>
  <c r="DZ42" i="47"/>
  <c r="Z179" i="46"/>
  <c r="AH56" i="47" s="1"/>
  <c r="DZ37" i="47"/>
  <c r="AG56" i="47"/>
  <c r="B205" i="46"/>
  <c r="A201" i="46"/>
  <c r="Z181" i="46"/>
  <c r="AH58" i="47" s="1"/>
  <c r="DZ39" i="47"/>
  <c r="AG58" i="47"/>
  <c r="EJ8" i="47"/>
  <c r="EJ7" i="47"/>
  <c r="EJ5" i="47"/>
  <c r="EJ4" i="47"/>
  <c r="F25" i="47"/>
  <c r="E20" i="47"/>
  <c r="B133" i="46"/>
  <c r="A129" i="46"/>
  <c r="E16" i="47"/>
  <c r="F21" i="47"/>
  <c r="F17" i="47"/>
  <c r="Z185" i="46"/>
  <c r="AH63" i="47" s="1"/>
  <c r="AG63" i="47"/>
  <c r="DZ43" i="47"/>
  <c r="A132" i="46"/>
  <c r="B136" i="46"/>
  <c r="A143" i="46"/>
  <c r="B147" i="46"/>
  <c r="CJ10" i="47"/>
  <c r="CJ7" i="47"/>
  <c r="EJ22" i="47"/>
  <c r="EJ21" i="47"/>
  <c r="EJ18" i="47"/>
  <c r="EJ20" i="47"/>
  <c r="CJ20" i="47"/>
  <c r="EJ17" i="47"/>
  <c r="CJ13" i="47"/>
  <c r="A142" i="46"/>
  <c r="B146" i="46"/>
  <c r="B209" i="46" l="1"/>
  <c r="A205" i="46"/>
  <c r="CI20" i="47"/>
  <c r="CK16" i="47"/>
  <c r="CL16" i="47" s="1"/>
  <c r="A146" i="46"/>
  <c r="B150" i="46"/>
  <c r="DU4" i="47"/>
  <c r="DW4" i="47" s="1"/>
  <c r="DX4" i="47" s="1"/>
  <c r="CJ14" i="47"/>
  <c r="A136" i="46"/>
  <c r="B140" i="46"/>
  <c r="CJ24" i="47"/>
  <c r="F30" i="47"/>
  <c r="E25" i="47"/>
  <c r="CJ11" i="47"/>
  <c r="A147" i="46"/>
  <c r="B151" i="46"/>
  <c r="DU5" i="47"/>
  <c r="DW5" i="47" s="1"/>
  <c r="DX5" i="47" s="1"/>
  <c r="F22" i="47"/>
  <c r="E17" i="47"/>
  <c r="F18" i="47"/>
  <c r="A133" i="46"/>
  <c r="B137" i="46"/>
  <c r="CJ17" i="47"/>
  <c r="F26" i="47"/>
  <c r="E21" i="47"/>
  <c r="CI24" i="47" l="1"/>
  <c r="CK20" i="47"/>
  <c r="CL20" i="47" s="1"/>
  <c r="B213" i="46"/>
  <c r="A209" i="46"/>
  <c r="F23" i="47"/>
  <c r="E18" i="47"/>
  <c r="A150" i="46"/>
  <c r="B154" i="46"/>
  <c r="CI7" i="47"/>
  <c r="DU8" i="47"/>
  <c r="DW8" i="47" s="1"/>
  <c r="DX8" i="47" s="1"/>
  <c r="E26" i="47"/>
  <c r="F31" i="47"/>
  <c r="CJ21" i="47"/>
  <c r="A151" i="46"/>
  <c r="B155" i="46"/>
  <c r="DU9" i="47"/>
  <c r="DW9" i="47" s="1"/>
  <c r="DX9" i="47" s="1"/>
  <c r="F27" i="47"/>
  <c r="E22" i="47"/>
  <c r="F35" i="47"/>
  <c r="E30" i="47"/>
  <c r="CJ28" i="47"/>
  <c r="A140" i="46"/>
  <c r="B144" i="46"/>
  <c r="CJ18" i="47"/>
  <c r="A137" i="46"/>
  <c r="B141" i="46"/>
  <c r="CJ15" i="47"/>
  <c r="B217" i="46" l="1"/>
  <c r="A213" i="46"/>
  <c r="CI28" i="47"/>
  <c r="CK24" i="47"/>
  <c r="CL24" i="47" s="1"/>
  <c r="CJ32" i="47"/>
  <c r="CJ25" i="47"/>
  <c r="CK7" i="47"/>
  <c r="CL7" i="47" s="1"/>
  <c r="CI11" i="47"/>
  <c r="A141" i="46"/>
  <c r="B145" i="46"/>
  <c r="A144" i="46"/>
  <c r="B148" i="46"/>
  <c r="A155" i="46"/>
  <c r="B159" i="46"/>
  <c r="DU13" i="47"/>
  <c r="DW13" i="47" s="1"/>
  <c r="DX13" i="47" s="1"/>
  <c r="A154" i="46"/>
  <c r="B158" i="46"/>
  <c r="DU12" i="47"/>
  <c r="DW12" i="47" s="1"/>
  <c r="DX12" i="47" s="1"/>
  <c r="CJ19" i="47"/>
  <c r="CJ22" i="47"/>
  <c r="F32" i="47"/>
  <c r="E27" i="47"/>
  <c r="F40" i="47"/>
  <c r="E35" i="47"/>
  <c r="E31" i="47"/>
  <c r="F36" i="47"/>
  <c r="F28" i="47"/>
  <c r="E23" i="47"/>
  <c r="B221" i="46" l="1"/>
  <c r="A217" i="46"/>
  <c r="CK28" i="47"/>
  <c r="CL28" i="47" s="1"/>
  <c r="CI32" i="47"/>
  <c r="F33" i="47"/>
  <c r="E28" i="47"/>
  <c r="F41" i="47"/>
  <c r="E36" i="47"/>
  <c r="CJ29" i="47"/>
  <c r="CJ36" i="47"/>
  <c r="F45" i="47"/>
  <c r="E40" i="47"/>
  <c r="F37" i="47"/>
  <c r="E32" i="47"/>
  <c r="CJ26" i="47"/>
  <c r="A148" i="46"/>
  <c r="CI5" i="47"/>
  <c r="B152" i="46"/>
  <c r="DU6" i="47"/>
  <c r="DW6" i="47" s="1"/>
  <c r="DX6" i="47" s="1"/>
  <c r="CJ23" i="47"/>
  <c r="A158" i="46"/>
  <c r="B162" i="46"/>
  <c r="DU16" i="47"/>
  <c r="DW16" i="47" s="1"/>
  <c r="DX16" i="47" s="1"/>
  <c r="B163" i="46"/>
  <c r="A159" i="46"/>
  <c r="DU17" i="47"/>
  <c r="DW17" i="47" s="1"/>
  <c r="DX17" i="47" s="1"/>
  <c r="A145" i="46"/>
  <c r="B149" i="46"/>
  <c r="CI15" i="47"/>
  <c r="CK11" i="47"/>
  <c r="CL11" i="47" s="1"/>
  <c r="B225" i="46" l="1"/>
  <c r="A221" i="46"/>
  <c r="CI36" i="47"/>
  <c r="CK32" i="47"/>
  <c r="CL32" i="47" s="1"/>
  <c r="CI19" i="47"/>
  <c r="CK15" i="47"/>
  <c r="CL15" i="47" s="1"/>
  <c r="K17" i="47"/>
  <c r="I15" i="47"/>
  <c r="M16" i="47"/>
  <c r="H16" i="47"/>
  <c r="CK5" i="47"/>
  <c r="CL5" i="47" s="1"/>
  <c r="CI9" i="47"/>
  <c r="J17" i="47"/>
  <c r="CJ40" i="47"/>
  <c r="K16" i="47"/>
  <c r="F46" i="47"/>
  <c r="E41" i="47"/>
  <c r="B166" i="46"/>
  <c r="A162" i="46"/>
  <c r="DU20" i="47"/>
  <c r="DW20" i="47" s="1"/>
  <c r="DX20" i="47" s="1"/>
  <c r="CJ30" i="47"/>
  <c r="F50" i="47"/>
  <c r="E45" i="47"/>
  <c r="J15" i="47"/>
  <c r="I16" i="47"/>
  <c r="M15" i="47"/>
  <c r="L17" i="47"/>
  <c r="L16" i="47"/>
  <c r="H15" i="47"/>
  <c r="A149" i="46"/>
  <c r="B153" i="46"/>
  <c r="CI6" i="47"/>
  <c r="DU7" i="47"/>
  <c r="DW7" i="47" s="1"/>
  <c r="DX7" i="47" s="1"/>
  <c r="B167" i="46"/>
  <c r="A163" i="46"/>
  <c r="DU21" i="47"/>
  <c r="DW21" i="47" s="1"/>
  <c r="DX21" i="47" s="1"/>
  <c r="I17" i="47"/>
  <c r="F42" i="47"/>
  <c r="E37" i="47"/>
  <c r="H17" i="47"/>
  <c r="CJ27" i="47"/>
  <c r="I18" i="47"/>
  <c r="A152" i="46"/>
  <c r="B156" i="46"/>
  <c r="DU10" i="47"/>
  <c r="DW10" i="47" s="1"/>
  <c r="DX10" i="47" s="1"/>
  <c r="M22" i="47"/>
  <c r="CJ33" i="47"/>
  <c r="M17" i="47"/>
  <c r="J16" i="47"/>
  <c r="E33" i="47"/>
  <c r="F38" i="47"/>
  <c r="B229" i="46" l="1"/>
  <c r="A225" i="46"/>
  <c r="CI40" i="47"/>
  <c r="CK36" i="47"/>
  <c r="CL36" i="47" s="1"/>
  <c r="EC4" i="47" s="1"/>
  <c r="EC15" i="47" s="1"/>
  <c r="A156" i="46"/>
  <c r="B160" i="46"/>
  <c r="DU14" i="47"/>
  <c r="DW14" i="47" s="1"/>
  <c r="DX14" i="47" s="1"/>
  <c r="CJ34" i="47"/>
  <c r="I21" i="47"/>
  <c r="L21" i="47"/>
  <c r="J20" i="47"/>
  <c r="H22" i="47"/>
  <c r="A167" i="46"/>
  <c r="B171" i="46"/>
  <c r="DU25" i="47"/>
  <c r="DW25" i="47" s="1"/>
  <c r="DX25" i="47" s="1"/>
  <c r="CK6" i="47"/>
  <c r="CL6" i="47" s="1"/>
  <c r="CI10" i="47"/>
  <c r="F51" i="47"/>
  <c r="E46" i="47"/>
  <c r="L22" i="47"/>
  <c r="J18" i="47"/>
  <c r="K18" i="47"/>
  <c r="CJ31" i="47"/>
  <c r="F43" i="47"/>
  <c r="E38" i="47"/>
  <c r="M18" i="47"/>
  <c r="K22" i="47"/>
  <c r="F47" i="47"/>
  <c r="E42" i="47"/>
  <c r="J23" i="47"/>
  <c r="B157" i="46"/>
  <c r="A153" i="46"/>
  <c r="H25" i="47" s="1"/>
  <c r="DU11" i="47"/>
  <c r="DW11" i="47" s="1"/>
  <c r="DX11" i="47" s="1"/>
  <c r="L27" i="47"/>
  <c r="F55" i="47"/>
  <c r="E50" i="47"/>
  <c r="H21" i="47"/>
  <c r="J26" i="47"/>
  <c r="A166" i="46"/>
  <c r="DU24" i="47"/>
  <c r="DW24" i="47" s="1"/>
  <c r="DX24" i="47" s="1"/>
  <c r="B170" i="46"/>
  <c r="L18" i="47"/>
  <c r="CJ37" i="47"/>
  <c r="I22" i="47"/>
  <c r="CI23" i="47"/>
  <c r="CK19" i="47"/>
  <c r="CL19" i="47" s="1"/>
  <c r="H27" i="47"/>
  <c r="J21" i="47"/>
  <c r="H18" i="47"/>
  <c r="K21" i="47"/>
  <c r="J27" i="47"/>
  <c r="CJ44" i="47"/>
  <c r="CI13" i="47"/>
  <c r="CK9" i="47"/>
  <c r="CL9" i="47" s="1"/>
  <c r="I25" i="47"/>
  <c r="H23" i="47"/>
  <c r="J22" i="47"/>
  <c r="M21" i="47"/>
  <c r="I26" i="47" l="1"/>
  <c r="CK40" i="47"/>
  <c r="CL40" i="47" s="1"/>
  <c r="EC8" i="47" s="1"/>
  <c r="EC19" i="47" s="1"/>
  <c r="CI44" i="47"/>
  <c r="CK44" i="47" s="1"/>
  <c r="CL44" i="47" s="1"/>
  <c r="EC12" i="47" s="1"/>
  <c r="EC23" i="47" s="1"/>
  <c r="B233" i="46"/>
  <c r="A229" i="46"/>
  <c r="M26" i="47"/>
  <c r="CI17" i="47"/>
  <c r="CK13" i="47"/>
  <c r="CL13" i="47" s="1"/>
  <c r="CJ41" i="47"/>
  <c r="B161" i="46"/>
  <c r="A157" i="46"/>
  <c r="DU15" i="47"/>
  <c r="DW15" i="47" s="1"/>
  <c r="DX15" i="47" s="1"/>
  <c r="E51" i="47"/>
  <c r="F56" i="47"/>
  <c r="I23" i="47"/>
  <c r="M27" i="47"/>
  <c r="K26" i="47"/>
  <c r="CJ38" i="47"/>
  <c r="L25" i="47"/>
  <c r="F60" i="47"/>
  <c r="E55" i="47"/>
  <c r="CJ35" i="47"/>
  <c r="CI14" i="47"/>
  <c r="CK10" i="47"/>
  <c r="CL10" i="47" s="1"/>
  <c r="M23" i="47"/>
  <c r="H26" i="47"/>
  <c r="CI27" i="47"/>
  <c r="CK23" i="47"/>
  <c r="CL23" i="47" s="1"/>
  <c r="A170" i="46"/>
  <c r="DU28" i="47"/>
  <c r="DW28" i="47" s="1"/>
  <c r="DX28" i="47" s="1"/>
  <c r="B174" i="46"/>
  <c r="F52" i="47"/>
  <c r="E47" i="47"/>
  <c r="I27" i="47"/>
  <c r="H28" i="47"/>
  <c r="K23" i="47"/>
  <c r="L23" i="47"/>
  <c r="K25" i="47"/>
  <c r="J28" i="47"/>
  <c r="E43" i="47"/>
  <c r="F48" i="47"/>
  <c r="I30" i="47"/>
  <c r="I31" i="47"/>
  <c r="B175" i="46"/>
  <c r="A171" i="46"/>
  <c r="DU29" i="47"/>
  <c r="DW29" i="47" s="1"/>
  <c r="DX29" i="47" s="1"/>
  <c r="K27" i="47"/>
  <c r="K28" i="47"/>
  <c r="L26" i="47"/>
  <c r="M25" i="47"/>
  <c r="B164" i="46"/>
  <c r="A160" i="46"/>
  <c r="K32" i="47" s="1"/>
  <c r="DU18" i="47"/>
  <c r="DW18" i="47" s="1"/>
  <c r="DX18" i="47" s="1"/>
  <c r="B237" i="46" l="1"/>
  <c r="A233" i="46"/>
  <c r="M28" i="47"/>
  <c r="CI31" i="47"/>
  <c r="CK27" i="47"/>
  <c r="CL27" i="47" s="1"/>
  <c r="F65" i="47"/>
  <c r="E60" i="47"/>
  <c r="CI21" i="47"/>
  <c r="CK17" i="47"/>
  <c r="CL17" i="47" s="1"/>
  <c r="F57" i="47"/>
  <c r="E52" i="47"/>
  <c r="CI18" i="47"/>
  <c r="CK14" i="47"/>
  <c r="CL14" i="47" s="1"/>
  <c r="J30" i="47"/>
  <c r="K30" i="47"/>
  <c r="K31" i="47"/>
  <c r="H31" i="47"/>
  <c r="J31" i="47"/>
  <c r="M32" i="47"/>
  <c r="J32" i="47"/>
  <c r="M31" i="47"/>
  <c r="L30" i="47"/>
  <c r="H32" i="47"/>
  <c r="L31" i="47"/>
  <c r="H30" i="47"/>
  <c r="M30" i="47"/>
  <c r="I32" i="47"/>
  <c r="B168" i="46"/>
  <c r="A164" i="46"/>
  <c r="DU22" i="47"/>
  <c r="DW22" i="47" s="1"/>
  <c r="DX22" i="47" s="1"/>
  <c r="CJ39" i="47"/>
  <c r="CJ42" i="47"/>
  <c r="F61" i="47"/>
  <c r="E56" i="47"/>
  <c r="B165" i="46"/>
  <c r="A161" i="46"/>
  <c r="DU19" i="47"/>
  <c r="DW19" i="47" s="1"/>
  <c r="DX19" i="47" s="1"/>
  <c r="B179" i="46"/>
  <c r="A175" i="46"/>
  <c r="DU33" i="47"/>
  <c r="DW33" i="47" s="1"/>
  <c r="DX33" i="47" s="1"/>
  <c r="F53" i="47"/>
  <c r="E48" i="47"/>
  <c r="L32" i="47"/>
  <c r="I28" i="47"/>
  <c r="M36" i="47"/>
  <c r="B178" i="46"/>
  <c r="A174" i="46"/>
  <c r="DU32" i="47"/>
  <c r="DW32" i="47" s="1"/>
  <c r="DX32" i="47" s="1"/>
  <c r="L28" i="47"/>
  <c r="B241" i="46" l="1"/>
  <c r="A237" i="46"/>
  <c r="M33" i="47"/>
  <c r="J35" i="47"/>
  <c r="H33" i="47"/>
  <c r="H37" i="47"/>
  <c r="F66" i="47"/>
  <c r="E61" i="47"/>
  <c r="J37" i="47"/>
  <c r="J33" i="47"/>
  <c r="A168" i="46"/>
  <c r="B172" i="46"/>
  <c r="DU26" i="47"/>
  <c r="DW26" i="47" s="1"/>
  <c r="DX26" i="47" s="1"/>
  <c r="L35" i="47"/>
  <c r="CK18" i="47"/>
  <c r="CL18" i="47" s="1"/>
  <c r="CI22" i="47"/>
  <c r="CI25" i="47"/>
  <c r="CK21" i="47"/>
  <c r="CL21" i="47" s="1"/>
  <c r="L42" i="47"/>
  <c r="L33" i="47"/>
  <c r="K42" i="47"/>
  <c r="K33" i="47"/>
  <c r="F58" i="47"/>
  <c r="E53" i="47"/>
  <c r="A165" i="46"/>
  <c r="B169" i="46"/>
  <c r="DU23" i="47"/>
  <c r="DW23" i="47" s="1"/>
  <c r="DX23" i="47" s="1"/>
  <c r="CJ43" i="47"/>
  <c r="L37" i="47"/>
  <c r="I33" i="47"/>
  <c r="L40" i="47"/>
  <c r="H36" i="47"/>
  <c r="K37" i="47"/>
  <c r="I42" i="47"/>
  <c r="J36" i="47"/>
  <c r="M41" i="47"/>
  <c r="M37" i="47"/>
  <c r="M40" i="47"/>
  <c r="I36" i="47"/>
  <c r="F62" i="47"/>
  <c r="E57" i="47"/>
  <c r="E65" i="47"/>
  <c r="G65" i="47"/>
  <c r="J38" i="47"/>
  <c r="B182" i="46"/>
  <c r="A178" i="46"/>
  <c r="DU36" i="47"/>
  <c r="DW36" i="47" s="1"/>
  <c r="DX36" i="47" s="1"/>
  <c r="H38" i="47"/>
  <c r="L36" i="47"/>
  <c r="B183" i="46"/>
  <c r="A179" i="46"/>
  <c r="DU37" i="47"/>
  <c r="DW37" i="47" s="1"/>
  <c r="DX37" i="47" s="1"/>
  <c r="M42" i="47"/>
  <c r="I38" i="47"/>
  <c r="I41" i="47"/>
  <c r="J41" i="47"/>
  <c r="K36" i="47"/>
  <c r="I37" i="47"/>
  <c r="K41" i="47"/>
  <c r="CI35" i="47"/>
  <c r="CK31" i="47"/>
  <c r="CL31" i="47" s="1"/>
  <c r="K38" i="47"/>
  <c r="B245" i="46" l="1"/>
  <c r="A241" i="46"/>
  <c r="F63" i="47"/>
  <c r="E58" i="47"/>
  <c r="K40" i="47"/>
  <c r="H40" i="47"/>
  <c r="M38" i="47"/>
  <c r="A169" i="46"/>
  <c r="DU27" i="47"/>
  <c r="DW27" i="47" s="1"/>
  <c r="DX27" i="47" s="1"/>
  <c r="I46" i="47"/>
  <c r="B187" i="46"/>
  <c r="A183" i="46"/>
  <c r="DU41" i="47"/>
  <c r="DW41" i="47" s="1"/>
  <c r="DX41" i="47" s="1"/>
  <c r="I45" i="47"/>
  <c r="L38" i="47"/>
  <c r="H42" i="47"/>
  <c r="CI29" i="47"/>
  <c r="CK25" i="47"/>
  <c r="CL25" i="47" s="1"/>
  <c r="I40" i="47"/>
  <c r="DU30" i="47"/>
  <c r="DW30" i="47" s="1"/>
  <c r="DX30" i="47" s="1"/>
  <c r="B176" i="46"/>
  <c r="A172" i="46"/>
  <c r="I47" i="47" s="1"/>
  <c r="H46" i="47"/>
  <c r="L46" i="47"/>
  <c r="K48" i="47"/>
  <c r="B186" i="46"/>
  <c r="A182" i="46"/>
  <c r="DU40" i="47"/>
  <c r="DW40" i="47" s="1"/>
  <c r="DX40" i="47" s="1"/>
  <c r="CI39" i="47"/>
  <c r="CK35" i="47"/>
  <c r="CL35" i="47" s="1"/>
  <c r="F67" i="47"/>
  <c r="E62" i="47"/>
  <c r="H47" i="47"/>
  <c r="J42" i="47"/>
  <c r="H41" i="47"/>
  <c r="K51" i="47"/>
  <c r="K45" i="47"/>
  <c r="CI26" i="47"/>
  <c r="CK22" i="47"/>
  <c r="CL22" i="47" s="1"/>
  <c r="L41" i="47"/>
  <c r="G66" i="47"/>
  <c r="E66" i="47"/>
  <c r="M46" i="47"/>
  <c r="I48" i="47"/>
  <c r="B249" i="46" l="1"/>
  <c r="A245" i="46"/>
  <c r="CI33" i="47"/>
  <c r="CK29" i="47"/>
  <c r="CL29" i="47" s="1"/>
  <c r="I51" i="47"/>
  <c r="A187" i="46"/>
  <c r="B191" i="46"/>
  <c r="M48" i="47"/>
  <c r="K43" i="47"/>
  <c r="K50" i="47"/>
  <c r="M47" i="47"/>
  <c r="H50" i="47"/>
  <c r="M45" i="47"/>
  <c r="M51" i="47"/>
  <c r="M50" i="47"/>
  <c r="J51" i="47"/>
  <c r="K46" i="47"/>
  <c r="I43" i="47"/>
  <c r="J47" i="47"/>
  <c r="J45" i="47"/>
  <c r="H51" i="47"/>
  <c r="J46" i="47"/>
  <c r="M43" i="47"/>
  <c r="L47" i="47"/>
  <c r="L48" i="47"/>
  <c r="J50" i="47"/>
  <c r="L43" i="47"/>
  <c r="L50" i="47"/>
  <c r="J48" i="47"/>
  <c r="CI43" i="47"/>
  <c r="CK43" i="47" s="1"/>
  <c r="CL43" i="47" s="1"/>
  <c r="EC11" i="47" s="1"/>
  <c r="EC22" i="47" s="1"/>
  <c r="CK39" i="47"/>
  <c r="CL39" i="47" s="1"/>
  <c r="EC7" i="47" s="1"/>
  <c r="EC18" i="47" s="1"/>
  <c r="I50" i="47"/>
  <c r="CI30" i="47"/>
  <c r="CK26" i="47"/>
  <c r="CL26" i="47" s="1"/>
  <c r="H43" i="47"/>
  <c r="K47" i="47"/>
  <c r="J43" i="47"/>
  <c r="E67" i="47"/>
  <c r="G67" i="47"/>
  <c r="A186" i="46"/>
  <c r="B190" i="46"/>
  <c r="DU44" i="47"/>
  <c r="DW44" i="47" s="1"/>
  <c r="DX44" i="47" s="1"/>
  <c r="H45" i="47"/>
  <c r="A176" i="46"/>
  <c r="H52" i="47" s="1"/>
  <c r="B180" i="46"/>
  <c r="DU34" i="47"/>
  <c r="DW34" i="47" s="1"/>
  <c r="DX34" i="47" s="1"/>
  <c r="L51" i="47"/>
  <c r="H48" i="47"/>
  <c r="F68" i="47"/>
  <c r="E63" i="47"/>
  <c r="B253" i="46" l="1"/>
  <c r="A249" i="46"/>
  <c r="I53" i="47"/>
  <c r="H55" i="47"/>
  <c r="J52" i="47"/>
  <c r="H53" i="47"/>
  <c r="K53" i="47"/>
  <c r="I55" i="47"/>
  <c r="J53" i="47"/>
  <c r="J11" i="47" s="1"/>
  <c r="M53" i="47"/>
  <c r="L53" i="47"/>
  <c r="G68" i="47"/>
  <c r="E68" i="47"/>
  <c r="BS4" i="47"/>
  <c r="BO4" i="47"/>
  <c r="BP4" i="47"/>
  <c r="AE4" i="47"/>
  <c r="BJ4" i="47"/>
  <c r="AZ9" i="47"/>
  <c r="AL12" i="47"/>
  <c r="AY4" i="47"/>
  <c r="AL4" i="47"/>
  <c r="BP11" i="47"/>
  <c r="AB8" i="47"/>
  <c r="AZ4" i="47"/>
  <c r="J7" i="47"/>
  <c r="BR4" i="47"/>
  <c r="R6" i="47"/>
  <c r="AE5" i="47"/>
  <c r="BT12" i="47"/>
  <c r="BO5" i="47"/>
  <c r="BG5" i="47"/>
  <c r="AX7" i="47"/>
  <c r="BF12" i="47"/>
  <c r="Q9" i="47"/>
  <c r="AE6" i="47"/>
  <c r="S7" i="47"/>
  <c r="AG11" i="47"/>
  <c r="AW8" i="47"/>
  <c r="BS11" i="47"/>
  <c r="R11" i="47"/>
  <c r="AL7" i="47"/>
  <c r="BF8" i="47"/>
  <c r="AW4" i="47"/>
  <c r="I7" i="47"/>
  <c r="Q6" i="47"/>
  <c r="AX9" i="47"/>
  <c r="Y7" i="47"/>
  <c r="AY12" i="47"/>
  <c r="BK5" i="47"/>
  <c r="Y11" i="47"/>
  <c r="AZ8" i="47"/>
  <c r="AG5" i="47"/>
  <c r="Q10" i="47"/>
  <c r="R10" i="47"/>
  <c r="R7" i="47"/>
  <c r="AX8" i="47"/>
  <c r="AB10" i="47"/>
  <c r="BO7" i="47"/>
  <c r="BQ6" i="47"/>
  <c r="S5" i="47"/>
  <c r="Q4" i="47"/>
  <c r="BQ12" i="47"/>
  <c r="BM6" i="47"/>
  <c r="AL8" i="47"/>
  <c r="BD8" i="47"/>
  <c r="BG8" i="47"/>
  <c r="AX11" i="47"/>
  <c r="BG6" i="47"/>
  <c r="BJ5" i="47"/>
  <c r="T7" i="47"/>
  <c r="BE12" i="47"/>
  <c r="BR8" i="47"/>
  <c r="BP8" i="47"/>
  <c r="AW12" i="47"/>
  <c r="O4" i="47"/>
  <c r="BB9" i="47"/>
  <c r="BO12" i="47"/>
  <c r="BF9" i="47"/>
  <c r="AW11" i="47"/>
  <c r="I9" i="47"/>
  <c r="AZ10" i="47"/>
  <c r="BU8" i="47"/>
  <c r="BK7" i="47"/>
  <c r="BQ11" i="47"/>
  <c r="BB6" i="47"/>
  <c r="Q11" i="47"/>
  <c r="BS8" i="47"/>
  <c r="BT6" i="47"/>
  <c r="BB12" i="47"/>
  <c r="AZ7" i="47"/>
  <c r="BB13" i="47"/>
  <c r="BQ7" i="47"/>
  <c r="T12" i="47"/>
  <c r="I10" i="47"/>
  <c r="BC5" i="47"/>
  <c r="S11" i="47"/>
  <c r="BQ9" i="47"/>
  <c r="AG7" i="47"/>
  <c r="BL10" i="47"/>
  <c r="AK5" i="47"/>
  <c r="AY13" i="47"/>
  <c r="S13" i="47"/>
  <c r="AW9" i="47"/>
  <c r="BL8" i="47"/>
  <c r="BG13" i="47"/>
  <c r="Q7" i="47"/>
  <c r="Z9" i="47"/>
  <c r="AX12" i="47"/>
  <c r="BK11" i="47"/>
  <c r="BP13" i="47"/>
  <c r="BP5" i="47"/>
  <c r="BK9" i="47"/>
  <c r="BE11" i="47"/>
  <c r="BQ5" i="47"/>
  <c r="BM11" i="47"/>
  <c r="BJ8" i="47"/>
  <c r="Z11" i="47"/>
  <c r="BJ11" i="47"/>
  <c r="T8" i="47"/>
  <c r="S6" i="47"/>
  <c r="BR7" i="47"/>
  <c r="H11" i="47"/>
  <c r="BH11" i="47"/>
  <c r="BS13" i="47"/>
  <c r="BE9" i="47"/>
  <c r="BO8" i="47"/>
  <c r="AG10" i="47"/>
  <c r="BB10" i="47"/>
  <c r="J10" i="47"/>
  <c r="BC7" i="47"/>
  <c r="AG12" i="47"/>
  <c r="BC11" i="47"/>
  <c r="AJ10" i="47"/>
  <c r="BC13" i="47"/>
  <c r="AL5" i="47"/>
  <c r="BT11" i="47"/>
  <c r="BS7" i="47"/>
  <c r="BU9" i="47"/>
  <c r="BM9" i="47"/>
  <c r="O9" i="47"/>
  <c r="AW5" i="47"/>
  <c r="BE8" i="47"/>
  <c r="AX5" i="47"/>
  <c r="BM12" i="47"/>
  <c r="BL7" i="47"/>
  <c r="S4" i="47"/>
  <c r="AB9" i="47"/>
  <c r="BJ9" i="47"/>
  <c r="AK6" i="47"/>
  <c r="S9" i="47"/>
  <c r="BM10" i="47"/>
  <c r="AK8" i="47"/>
  <c r="O5" i="47"/>
  <c r="AJ7" i="47"/>
  <c r="BD13" i="47"/>
  <c r="BQ4" i="47"/>
  <c r="AZ11" i="47"/>
  <c r="BF7" i="47"/>
  <c r="AZ12" i="47"/>
  <c r="BC12" i="47"/>
  <c r="BT5" i="47"/>
  <c r="AY6" i="47"/>
  <c r="Z13" i="47"/>
  <c r="AY5" i="47"/>
  <c r="BQ10" i="47"/>
  <c r="BE4" i="47"/>
  <c r="BK6" i="47"/>
  <c r="BG12" i="47"/>
  <c r="R9" i="47"/>
  <c r="BM7" i="47"/>
  <c r="BF13" i="47"/>
  <c r="BQ13" i="47"/>
  <c r="AG13" i="47"/>
  <c r="BD4" i="47"/>
  <c r="BH10" i="47"/>
  <c r="BG10" i="47"/>
  <c r="BF5" i="47"/>
  <c r="Y8" i="47"/>
  <c r="R8" i="47"/>
  <c r="Y10" i="47"/>
  <c r="S10" i="47"/>
  <c r="BU4" i="47"/>
  <c r="BK10" i="47"/>
  <c r="AL9" i="47"/>
  <c r="BB4" i="47"/>
  <c r="AE7" i="47"/>
  <c r="AZ6" i="47"/>
  <c r="BP12" i="47"/>
  <c r="BC10" i="47"/>
  <c r="BR9" i="47"/>
  <c r="AK4" i="47"/>
  <c r="AD7" i="47"/>
  <c r="BK4" i="47"/>
  <c r="BD11" i="47"/>
  <c r="BM13" i="47"/>
  <c r="AD6" i="47"/>
  <c r="BD7" i="47"/>
  <c r="T10" i="47"/>
  <c r="AD10" i="47"/>
  <c r="R4" i="47"/>
  <c r="AY8" i="47"/>
  <c r="AJ9" i="47"/>
  <c r="BH4" i="47"/>
  <c r="BL12" i="47"/>
  <c r="BS10" i="47"/>
  <c r="BP9" i="47"/>
  <c r="AE10" i="47"/>
  <c r="BL5" i="47"/>
  <c r="BL6" i="47"/>
  <c r="H9" i="47"/>
  <c r="AD13" i="47"/>
  <c r="BC8" i="47"/>
  <c r="BL4" i="47"/>
  <c r="BU10" i="47"/>
  <c r="BM5" i="47"/>
  <c r="BB8" i="47"/>
  <c r="AX4" i="47"/>
  <c r="BB7" i="47"/>
  <c r="AX6" i="47"/>
  <c r="Y6" i="47"/>
  <c r="AD11" i="47"/>
  <c r="BS9" i="47"/>
  <c r="AJ5" i="47"/>
  <c r="AB6" i="47"/>
  <c r="BB5" i="47"/>
  <c r="AE11" i="47"/>
  <c r="BE5" i="47"/>
  <c r="AW7" i="47"/>
  <c r="AJ13" i="47"/>
  <c r="O12" i="47"/>
  <c r="Y5" i="47"/>
  <c r="AG8" i="47"/>
  <c r="Z10" i="47"/>
  <c r="BK13" i="47"/>
  <c r="BU11" i="47"/>
  <c r="Z7" i="47"/>
  <c r="AJ12" i="47"/>
  <c r="R12" i="47"/>
  <c r="BT10" i="47"/>
  <c r="AB4" i="47"/>
  <c r="BH6" i="47"/>
  <c r="BO13" i="47"/>
  <c r="AK9" i="47"/>
  <c r="AE12" i="47"/>
  <c r="Z6" i="47"/>
  <c r="BS6" i="47"/>
  <c r="Z12" i="47"/>
  <c r="T6" i="47"/>
  <c r="AG6" i="47"/>
  <c r="AL6" i="47"/>
  <c r="O10" i="47"/>
  <c r="S12" i="47"/>
  <c r="BL11" i="47"/>
  <c r="BJ13" i="47"/>
  <c r="BE6" i="47"/>
  <c r="AK13" i="47"/>
  <c r="BP10" i="47"/>
  <c r="R13" i="47"/>
  <c r="AW6" i="47"/>
  <c r="BJ7" i="47"/>
  <c r="BL9" i="47"/>
  <c r="BO10" i="47"/>
  <c r="AD8" i="47"/>
  <c r="BS12" i="47"/>
  <c r="S8" i="47"/>
  <c r="AB7" i="47"/>
  <c r="BU7" i="47"/>
  <c r="Y9" i="47"/>
  <c r="AG9" i="47"/>
  <c r="Q13" i="47"/>
  <c r="AK12" i="47"/>
  <c r="BQ8" i="47"/>
  <c r="AY9" i="47"/>
  <c r="BG11" i="47"/>
  <c r="BJ6" i="47"/>
  <c r="BT8" i="47"/>
  <c r="H10" i="47"/>
  <c r="AB12" i="47"/>
  <c r="BF6" i="47"/>
  <c r="BU5" i="47"/>
  <c r="BC9" i="47"/>
  <c r="AJ11" i="47"/>
  <c r="AX10" i="47"/>
  <c r="BO9" i="47"/>
  <c r="BD9" i="47"/>
  <c r="O13" i="47"/>
  <c r="AK11" i="47"/>
  <c r="AD4" i="47"/>
  <c r="R5" i="47"/>
  <c r="AZ5" i="47"/>
  <c r="Y12" i="47"/>
  <c r="AE9" i="47"/>
  <c r="BO11" i="47"/>
  <c r="BC6" i="47"/>
  <c r="Q12" i="47"/>
  <c r="BR11" i="47"/>
  <c r="AB5" i="47"/>
  <c r="AB13" i="47"/>
  <c r="AD12" i="47"/>
  <c r="BO6" i="47"/>
  <c r="BJ12" i="47"/>
  <c r="AY11" i="47"/>
  <c r="BJ10" i="47"/>
  <c r="BP7" i="47"/>
  <c r="T11" i="47"/>
  <c r="O6" i="47"/>
  <c r="AX13" i="47"/>
  <c r="BG9" i="47"/>
  <c r="BP6" i="47"/>
  <c r="Q5" i="47"/>
  <c r="Z8" i="47"/>
  <c r="AE8" i="47"/>
  <c r="BK12" i="47"/>
  <c r="BS5" i="47"/>
  <c r="BG7" i="47"/>
  <c r="BE7" i="47"/>
  <c r="AW13" i="47"/>
  <c r="AB11" i="47"/>
  <c r="BE10" i="47"/>
  <c r="BB11" i="47"/>
  <c r="BL13" i="47"/>
  <c r="AJ4" i="47"/>
  <c r="O8" i="47"/>
  <c r="AL13" i="47"/>
  <c r="BH9" i="47"/>
  <c r="AL11" i="47"/>
  <c r="AE13" i="47"/>
  <c r="BT13" i="47"/>
  <c r="BF10" i="47"/>
  <c r="BT7" i="47"/>
  <c r="AJ6" i="47"/>
  <c r="BU6" i="47"/>
  <c r="BU13" i="47"/>
  <c r="AG4" i="47"/>
  <c r="T13" i="47"/>
  <c r="BD6" i="47"/>
  <c r="BF11" i="47"/>
  <c r="BK8" i="47"/>
  <c r="BT9" i="47"/>
  <c r="Y4" i="47"/>
  <c r="BR5" i="47"/>
  <c r="AW10" i="47"/>
  <c r="BC4" i="47"/>
  <c r="AJ8" i="47"/>
  <c r="BT4" i="47"/>
  <c r="T4" i="47"/>
  <c r="AY7" i="47"/>
  <c r="O11" i="47"/>
  <c r="AD5" i="47"/>
  <c r="BU12" i="47"/>
  <c r="BD12" i="47"/>
  <c r="BM4" i="47"/>
  <c r="T9" i="47"/>
  <c r="O7" i="47"/>
  <c r="BD5" i="47"/>
  <c r="BE13" i="47"/>
  <c r="AL10" i="47"/>
  <c r="AZ13" i="47"/>
  <c r="BH5" i="47"/>
  <c r="Z5" i="47"/>
  <c r="BG4" i="47"/>
  <c r="BH8" i="47"/>
  <c r="BR6" i="47"/>
  <c r="Y13" i="47"/>
  <c r="AK7" i="47"/>
  <c r="BF4" i="47"/>
  <c r="BH7" i="47"/>
  <c r="BH12" i="47"/>
  <c r="AD9" i="47"/>
  <c r="Q8" i="47"/>
  <c r="BR10" i="47"/>
  <c r="BH13" i="47"/>
  <c r="AK10" i="47"/>
  <c r="BR13" i="47"/>
  <c r="AY10" i="47"/>
  <c r="BD10" i="47"/>
  <c r="Z4" i="47"/>
  <c r="BR12" i="47"/>
  <c r="T5" i="47"/>
  <c r="H4" i="47"/>
  <c r="BM8" i="47"/>
  <c r="J5" i="47"/>
  <c r="I4" i="47"/>
  <c r="J4" i="47"/>
  <c r="A180" i="46"/>
  <c r="J57" i="47" s="1"/>
  <c r="B184" i="46"/>
  <c r="DU38" i="47"/>
  <c r="DW38" i="47" s="1"/>
  <c r="DX38" i="47" s="1"/>
  <c r="B194" i="46"/>
  <c r="A190" i="46"/>
  <c r="CK30" i="47"/>
  <c r="CL30" i="47" s="1"/>
  <c r="CI34" i="47"/>
  <c r="K55" i="47"/>
  <c r="L52" i="47"/>
  <c r="L55" i="47"/>
  <c r="L56" i="47"/>
  <c r="B195" i="46"/>
  <c r="A191" i="46"/>
  <c r="J55" i="47"/>
  <c r="I52" i="47"/>
  <c r="I11" i="47" s="1"/>
  <c r="K60" i="47"/>
  <c r="M52" i="47"/>
  <c r="K56" i="47"/>
  <c r="J56" i="47"/>
  <c r="M60" i="47"/>
  <c r="M55" i="47"/>
  <c r="H56" i="47"/>
  <c r="L60" i="47"/>
  <c r="M56" i="47"/>
  <c r="K52" i="47"/>
  <c r="I56" i="47"/>
  <c r="I60" i="47"/>
  <c r="CI37" i="47"/>
  <c r="CK33" i="47"/>
  <c r="CL33" i="47" s="1"/>
  <c r="I61" i="47" l="1"/>
  <c r="K61" i="47"/>
  <c r="H57" i="47"/>
  <c r="J61" i="47"/>
  <c r="L58" i="47"/>
  <c r="B257" i="46"/>
  <c r="A253" i="46"/>
  <c r="H60" i="47"/>
  <c r="M58" i="47"/>
  <c r="J60" i="47"/>
  <c r="J58" i="47"/>
  <c r="J12" i="47" s="1"/>
  <c r="M61" i="47"/>
  <c r="L61" i="47"/>
  <c r="H58" i="47"/>
  <c r="L57" i="47"/>
  <c r="CI41" i="47"/>
  <c r="CK41" i="47" s="1"/>
  <c r="CL41" i="47" s="1"/>
  <c r="EC9" i="47" s="1"/>
  <c r="EC20" i="47" s="1"/>
  <c r="CK37" i="47"/>
  <c r="CL37" i="47" s="1"/>
  <c r="EC5" i="47" s="1"/>
  <c r="EC16" i="47" s="1"/>
  <c r="B199" i="46"/>
  <c r="A195" i="46"/>
  <c r="B198" i="46"/>
  <c r="A194" i="46"/>
  <c r="B188" i="46"/>
  <c r="A184" i="46"/>
  <c r="K62" i="47" s="1"/>
  <c r="DU42" i="47"/>
  <c r="DW42" i="47" s="1"/>
  <c r="DX42" i="47" s="1"/>
  <c r="CI38" i="47"/>
  <c r="CK34" i="47"/>
  <c r="CL34" i="47" s="1"/>
  <c r="H61" i="47"/>
  <c r="H65" i="47"/>
  <c r="I57" i="47"/>
  <c r="K57" i="47"/>
  <c r="M57" i="47"/>
  <c r="K63" i="47"/>
  <c r="J63" i="47"/>
  <c r="L65" i="47"/>
  <c r="J66" i="47"/>
  <c r="J8" i="47" s="1"/>
  <c r="I58" i="47"/>
  <c r="K58" i="47"/>
  <c r="H12" i="47" l="1"/>
  <c r="I12" i="47"/>
  <c r="B261" i="46"/>
  <c r="A257" i="46"/>
  <c r="B202" i="46"/>
  <c r="A198" i="46"/>
  <c r="L62" i="47"/>
  <c r="I65" i="47"/>
  <c r="M65" i="47"/>
  <c r="H66" i="47"/>
  <c r="M62" i="47"/>
  <c r="I63" i="47"/>
  <c r="L63" i="47"/>
  <c r="H62" i="47"/>
  <c r="I62" i="47"/>
  <c r="K66" i="47"/>
  <c r="J62" i="47"/>
  <c r="J13" i="47" s="1"/>
  <c r="M63" i="47"/>
  <c r="I66" i="47"/>
  <c r="K65" i="47"/>
  <c r="M66" i="47"/>
  <c r="J65" i="47"/>
  <c r="H63" i="47"/>
  <c r="L66" i="47"/>
  <c r="B203" i="46"/>
  <c r="A199" i="46"/>
  <c r="J76" i="47"/>
  <c r="J74" i="47"/>
  <c r="CI42" i="47"/>
  <c r="CK42" i="47" s="1"/>
  <c r="CL42" i="47" s="1"/>
  <c r="EC10" i="47" s="1"/>
  <c r="EC21" i="47" s="1"/>
  <c r="CK38" i="47"/>
  <c r="CL38" i="47" s="1"/>
  <c r="EC6" i="47" s="1"/>
  <c r="EC17" i="47" s="1"/>
  <c r="B192" i="46"/>
  <c r="A188" i="46"/>
  <c r="B265" i="46" l="1"/>
  <c r="A261" i="46"/>
  <c r="H13" i="47"/>
  <c r="H7" i="47"/>
  <c r="H6" i="47"/>
  <c r="H76" i="47"/>
  <c r="H74" i="47"/>
  <c r="M74" i="47"/>
  <c r="M76" i="47"/>
  <c r="B206" i="46"/>
  <c r="A202" i="46"/>
  <c r="B207" i="46"/>
  <c r="A203" i="46"/>
  <c r="L74" i="47"/>
  <c r="L76" i="47"/>
  <c r="K76" i="47"/>
  <c r="K74" i="47"/>
  <c r="B196" i="46"/>
  <c r="A192" i="46"/>
  <c r="I6" i="47"/>
  <c r="I74" i="47"/>
  <c r="I76" i="47"/>
  <c r="I13" i="47"/>
  <c r="B269" i="46" l="1"/>
  <c r="A265" i="46"/>
  <c r="B210" i="46"/>
  <c r="A206" i="46"/>
  <c r="B200" i="46"/>
  <c r="A196" i="46"/>
  <c r="B211" i="46"/>
  <c r="A207" i="46"/>
  <c r="B273" i="46" l="1"/>
  <c r="A269" i="46"/>
  <c r="B215" i="46"/>
  <c r="A211" i="46"/>
  <c r="B204" i="46"/>
  <c r="A200" i="46"/>
  <c r="B214" i="46"/>
  <c r="A210" i="46"/>
  <c r="B277" i="46" l="1"/>
  <c r="A273" i="46"/>
  <c r="B208" i="46"/>
  <c r="A204" i="46"/>
  <c r="B219" i="46"/>
  <c r="A215" i="46"/>
  <c r="B218" i="46"/>
  <c r="A214" i="46"/>
  <c r="B281" i="46" l="1"/>
  <c r="A277" i="46"/>
  <c r="B222" i="46"/>
  <c r="A218" i="46"/>
  <c r="B212" i="46"/>
  <c r="A208" i="46"/>
  <c r="B223" i="46"/>
  <c r="A219" i="46"/>
  <c r="B285" i="46" l="1"/>
  <c r="A281" i="46"/>
  <c r="B227" i="46"/>
  <c r="A223" i="46"/>
  <c r="B216" i="46"/>
  <c r="A212" i="46"/>
  <c r="B226" i="46"/>
  <c r="A222" i="46"/>
  <c r="B289" i="46" l="1"/>
  <c r="A285" i="46"/>
  <c r="B231" i="46"/>
  <c r="A227" i="46"/>
  <c r="B220" i="46"/>
  <c r="A216" i="46"/>
  <c r="B230" i="46"/>
  <c r="A226" i="46"/>
  <c r="B293" i="46" l="1"/>
  <c r="A293" i="46" s="1"/>
  <c r="A289" i="46"/>
  <c r="B234" i="46"/>
  <c r="A230" i="46"/>
  <c r="B224" i="46"/>
  <c r="A220" i="46"/>
  <c r="B235" i="46"/>
  <c r="A231" i="46"/>
  <c r="B228" i="46" l="1"/>
  <c r="A224" i="46"/>
  <c r="B238" i="46"/>
  <c r="A234" i="46"/>
  <c r="B239" i="46"/>
  <c r="A235" i="46"/>
  <c r="B242" i="46" l="1"/>
  <c r="A238" i="46"/>
  <c r="B232" i="46"/>
  <c r="A228" i="46"/>
  <c r="B243" i="46"/>
  <c r="A239" i="46"/>
  <c r="B236" i="46" l="1"/>
  <c r="A232" i="46"/>
  <c r="B246" i="46"/>
  <c r="A242" i="46"/>
  <c r="B247" i="46"/>
  <c r="A243" i="46"/>
  <c r="B240" i="46" l="1"/>
  <c r="A236" i="46"/>
  <c r="B250" i="46"/>
  <c r="A246" i="46"/>
  <c r="B251" i="46"/>
  <c r="A247" i="46"/>
  <c r="B255" i="46" l="1"/>
  <c r="A251" i="46"/>
  <c r="B254" i="46"/>
  <c r="A250" i="46"/>
  <c r="B244" i="46"/>
  <c r="A240" i="46"/>
  <c r="B259" i="46" l="1"/>
  <c r="A255" i="46"/>
  <c r="B248" i="46"/>
  <c r="A244" i="46"/>
  <c r="B258" i="46"/>
  <c r="A254" i="46"/>
  <c r="B262" i="46" l="1"/>
  <c r="A258" i="46"/>
  <c r="B263" i="46"/>
  <c r="A259" i="46"/>
  <c r="B252" i="46"/>
  <c r="A248" i="46"/>
  <c r="B256" i="46" l="1"/>
  <c r="A252" i="46"/>
  <c r="B267" i="46"/>
  <c r="A263" i="46"/>
  <c r="B266" i="46"/>
  <c r="A262" i="46"/>
  <c r="B270" i="46" l="1"/>
  <c r="A266" i="46"/>
  <c r="B260" i="46"/>
  <c r="A256" i="46"/>
  <c r="B271" i="46"/>
  <c r="A267" i="46"/>
  <c r="B275" i="46" l="1"/>
  <c r="A271" i="46"/>
  <c r="B274" i="46"/>
  <c r="A270" i="46"/>
  <c r="B264" i="46"/>
  <c r="A260" i="46"/>
  <c r="B268" i="46" l="1"/>
  <c r="A264" i="46"/>
  <c r="B278" i="46"/>
  <c r="A274" i="46"/>
  <c r="B279" i="46"/>
  <c r="A275" i="46"/>
  <c r="B272" i="46" l="1"/>
  <c r="A268" i="46"/>
  <c r="B283" i="46"/>
  <c r="A279" i="46"/>
  <c r="B282" i="46"/>
  <c r="A278" i="46"/>
  <c r="B287" i="46" l="1"/>
  <c r="A283" i="46"/>
  <c r="B276" i="46"/>
  <c r="A272" i="46"/>
  <c r="B286" i="46"/>
  <c r="A282" i="46"/>
  <c r="B290" i="46" l="1"/>
  <c r="A290" i="46" s="1"/>
  <c r="A286" i="46"/>
  <c r="B280" i="46"/>
  <c r="A276" i="46"/>
  <c r="B291" i="46"/>
  <c r="A291" i="46" s="1"/>
  <c r="A287" i="46"/>
  <c r="B284" i="46" l="1"/>
  <c r="A280" i="46"/>
  <c r="B288" i="46" l="1"/>
  <c r="A284" i="46"/>
  <c r="B292" i="46" l="1"/>
  <c r="A288" i="46"/>
  <c r="A292" i="46" l="1"/>
  <c r="L15" i="47"/>
  <c r="K15" i="47"/>
  <c r="L20" i="47"/>
  <c r="K20" i="47"/>
  <c r="H20" i="47"/>
  <c r="H5" i="47" s="1"/>
  <c r="M20" i="47"/>
  <c r="I20" i="47"/>
  <c r="I5" i="47" s="1"/>
  <c r="J25" i="47"/>
  <c r="J6" i="47" s="1"/>
  <c r="M35" i="47"/>
  <c r="I35" i="47"/>
  <c r="I8" i="47" s="1"/>
  <c r="K35" i="47"/>
  <c r="H35" i="47"/>
  <c r="H8" i="47" s="1"/>
  <c r="J40" i="47"/>
  <c r="J9" i="47" s="1"/>
  <c r="L45" i="47"/>
</calcChain>
</file>

<file path=xl/comments1.xml><?xml version="1.0" encoding="utf-8"?>
<comments xmlns="http://schemas.openxmlformats.org/spreadsheetml/2006/main">
  <authors>
    <author>REBEKAH.PAUL</author>
    <author>MARGARET.SIMS</author>
  </authors>
  <commentList>
    <comment ref="AA151" authorId="0">
      <text>
        <r>
          <rPr>
            <b/>
            <sz val="8"/>
            <color indexed="81"/>
            <rFont val="Tahoma"/>
            <family val="2"/>
          </rPr>
          <t>REBEKAH.PAUL:</t>
        </r>
        <r>
          <rPr>
            <sz val="8"/>
            <color indexed="81"/>
            <rFont val="Tahoma"/>
            <family val="2"/>
          </rPr>
          <t xml:space="preserve">
This includes the 1 Deed of Arrangement</t>
        </r>
      </text>
    </comment>
    <comment ref="AU179" authorId="1">
      <text>
        <r>
          <rPr>
            <b/>
            <sz val="8"/>
            <color indexed="81"/>
            <rFont val="Tahoma"/>
            <family val="2"/>
          </rPr>
          <t>MARGARET.SIMS:</t>
        </r>
        <r>
          <rPr>
            <sz val="8"/>
            <color indexed="81"/>
            <rFont val="Tahoma"/>
            <family val="2"/>
          </rPr>
          <t xml:space="preserve">
No forms processed May or June</t>
        </r>
      </text>
    </comment>
    <comment ref="AU180" authorId="1">
      <text>
        <r>
          <rPr>
            <b/>
            <sz val="8"/>
            <color indexed="81"/>
            <rFont val="Tahoma"/>
            <family val="2"/>
          </rPr>
          <t>MARGARET.SIMS:</t>
        </r>
        <r>
          <rPr>
            <sz val="8"/>
            <color indexed="81"/>
            <rFont val="Tahoma"/>
            <family val="2"/>
          </rPr>
          <t xml:space="preserve">
No forms processed July-Sept (done in Q4)
</t>
        </r>
      </text>
    </comment>
    <comment ref="AV180" authorId="1">
      <text>
        <r>
          <rPr>
            <b/>
            <sz val="8"/>
            <color indexed="81"/>
            <rFont val="Tahoma"/>
            <family val="2"/>
          </rPr>
          <t>MARGARET.SIMS:</t>
        </r>
        <r>
          <rPr>
            <sz val="8"/>
            <color indexed="81"/>
            <rFont val="Tahoma"/>
            <family val="2"/>
          </rPr>
          <t xml:space="preserve">
May be revised</t>
        </r>
      </text>
    </comment>
    <comment ref="AW180" authorId="1">
      <text>
        <r>
          <rPr>
            <b/>
            <sz val="8"/>
            <color indexed="81"/>
            <rFont val="Tahoma"/>
            <family val="2"/>
          </rPr>
          <t>MARGARET.SIMS:</t>
        </r>
        <r>
          <rPr>
            <sz val="8"/>
            <color indexed="81"/>
            <rFont val="Tahoma"/>
            <family val="2"/>
          </rPr>
          <t xml:space="preserve">
Subject to change</t>
        </r>
      </text>
    </comment>
    <comment ref="AU181" authorId="1">
      <text>
        <r>
          <rPr>
            <b/>
            <sz val="8"/>
            <color indexed="81"/>
            <rFont val="Tahoma"/>
            <family val="2"/>
          </rPr>
          <t>MARGARET.SIMS:</t>
        </r>
        <r>
          <rPr>
            <sz val="8"/>
            <color indexed="81"/>
            <rFont val="Tahoma"/>
            <family val="2"/>
          </rPr>
          <t xml:space="preserve">
Includes late processing from May-Sept</t>
        </r>
      </text>
    </comment>
  </commentList>
</comments>
</file>

<file path=xl/comments2.xml><?xml version="1.0" encoding="utf-8"?>
<comments xmlns="http://schemas.openxmlformats.org/spreadsheetml/2006/main">
  <authors>
    <author>JOHN.PERRETT</author>
  </authors>
  <commentList>
    <comment ref="F4" authorId="0">
      <text>
        <r>
          <rPr>
            <b/>
            <sz val="8"/>
            <color indexed="81"/>
            <rFont val="Tahoma"/>
            <family val="2"/>
          </rPr>
          <t>JOHN.PERRETT:</t>
        </r>
        <r>
          <rPr>
            <sz val="8"/>
            <color indexed="81"/>
            <rFont val="Tahoma"/>
            <family val="2"/>
          </rPr>
          <t xml:space="preserve">
Brings back the last ten complete calendar years</t>
        </r>
      </text>
    </comment>
  </commentList>
</comments>
</file>

<file path=xl/sharedStrings.xml><?xml version="1.0" encoding="utf-8"?>
<sst xmlns="http://schemas.openxmlformats.org/spreadsheetml/2006/main" count="10906" uniqueCount="561">
  <si>
    <t>Company voluntary arrangements</t>
  </si>
  <si>
    <t>Q1</t>
  </si>
  <si>
    <t>Q2</t>
  </si>
  <si>
    <t>Q3</t>
  </si>
  <si>
    <t>Q4</t>
  </si>
  <si>
    <t>Total</t>
  </si>
  <si>
    <t>Total Liquidations</t>
  </si>
  <si>
    <t>Compulsory Liquidations</t>
  </si>
  <si>
    <t>Creditors Voluntary Liquidations</t>
  </si>
  <si>
    <t>Bankruptcy Orders</t>
  </si>
  <si>
    <t>Bankruptcy orders</t>
  </si>
  <si>
    <t>Individual Voluntary Arrangements</t>
  </si>
  <si>
    <t>Seasonally Adjusted</t>
  </si>
  <si>
    <t>Creditors Petitions</t>
  </si>
  <si>
    <t>Total Individual Insolvencies</t>
  </si>
  <si>
    <t>Sequestrians</t>
  </si>
  <si>
    <t>Protected trust deeds</t>
  </si>
  <si>
    <t>IPOs</t>
  </si>
  <si>
    <t>IPAs</t>
  </si>
  <si>
    <t>Scotland</t>
  </si>
  <si>
    <t>England &amp; Wales</t>
  </si>
  <si>
    <t>Northern Ireland</t>
  </si>
  <si>
    <t>Year</t>
  </si>
  <si>
    <t>Quarter</t>
  </si>
  <si>
    <t>Charts</t>
  </si>
  <si>
    <t>Tables</t>
  </si>
  <si>
    <t>Income Payments Orders</t>
  </si>
  <si>
    <t>Income Payments Agreements</t>
  </si>
  <si>
    <t>Creditors Petitions %</t>
  </si>
  <si>
    <t>Chart 1</t>
  </si>
  <si>
    <t>Chart 2</t>
  </si>
  <si>
    <t>-</t>
  </si>
  <si>
    <t>IVAs</t>
  </si>
  <si>
    <t>CVLs</t>
  </si>
  <si>
    <t>CVAs</t>
  </si>
  <si>
    <t>IVA</t>
  </si>
  <si>
    <t>Companies in Active Register</t>
  </si>
  <si>
    <t>Companies in Total Register</t>
  </si>
  <si>
    <t>Companies in Dissolution Register</t>
  </si>
  <si>
    <t>In Administration (Ent act)</t>
  </si>
  <si>
    <t>Receiver Appointments</t>
  </si>
  <si>
    <t>Admin Appointments</t>
  </si>
  <si>
    <t>Deeds of Arrangements</t>
  </si>
  <si>
    <t>Debtors Petitions</t>
  </si>
  <si>
    <t>Total IPO IPA</t>
  </si>
  <si>
    <t>Self Employed</t>
  </si>
  <si>
    <t>Other Individuals</t>
  </si>
  <si>
    <t>Not seasonally adjusted</t>
  </si>
  <si>
    <t>Seasonally adjusted</t>
  </si>
  <si>
    <t>Table 1</t>
  </si>
  <si>
    <t>Table 2</t>
  </si>
  <si>
    <t>Table 2b</t>
  </si>
  <si>
    <t>Debtors Petitions %</t>
  </si>
  <si>
    <t>Self Employed %</t>
  </si>
  <si>
    <t>Other Individuals %</t>
  </si>
  <si>
    <t>Table 6</t>
  </si>
  <si>
    <t>Table 7</t>
  </si>
  <si>
    <t>Active Register</t>
  </si>
  <si>
    <t>Total Register</t>
  </si>
  <si>
    <t>% of Active Register</t>
  </si>
  <si>
    <t>% of Total Register</t>
  </si>
  <si>
    <t>% of Active Register E&amp;W</t>
  </si>
  <si>
    <t>% of Total Register E&amp;W</t>
  </si>
  <si>
    <t>% of Active Register S</t>
  </si>
  <si>
    <t>% of Total Register S</t>
  </si>
  <si>
    <t>Qrt</t>
  </si>
  <si>
    <t>..</t>
  </si>
  <si>
    <t>:</t>
  </si>
  <si>
    <t>Chart 3</t>
  </si>
  <si>
    <t>Total Bankruptcies</t>
  </si>
  <si>
    <t>Admin to Creditors Vol</t>
  </si>
  <si>
    <t>LILA</t>
  </si>
  <si>
    <t>Chart 4</t>
  </si>
  <si>
    <t>Chart 5</t>
  </si>
  <si>
    <t>Chart 6</t>
  </si>
  <si>
    <t>Chart 7</t>
  </si>
  <si>
    <t>Chart 8</t>
  </si>
  <si>
    <t>Chart 9</t>
  </si>
  <si>
    <t>Table 2a</t>
  </si>
  <si>
    <t>Table 4</t>
  </si>
  <si>
    <t>Table 5</t>
  </si>
  <si>
    <t>Total growth</t>
  </si>
  <si>
    <t>Corporate</t>
  </si>
  <si>
    <t>Personal</t>
  </si>
  <si>
    <t>Quarterly Contribution to Growth</t>
  </si>
  <si>
    <t>Yearly Contribution to Growth</t>
  </si>
  <si>
    <t>Debt Releif Orders</t>
  </si>
  <si>
    <t>Debt relief orders</t>
  </si>
  <si>
    <t>DROs</t>
  </si>
  <si>
    <t>entered</t>
  </si>
  <si>
    <t>straight to</t>
  </si>
  <si>
    <t>new table in file</t>
  </si>
  <si>
    <t>Creditors' Voluntary Liquidations</t>
  </si>
  <si>
    <t>Administrations</t>
  </si>
  <si>
    <t>Year&amp;Qtr</t>
  </si>
  <si>
    <t>Latest q-q change</t>
  </si>
  <si>
    <t>change on 12m prev</t>
  </si>
  <si>
    <t>Column no. for quarterly change lookup</t>
  </si>
  <si>
    <t>Column no. for input data lookup</t>
  </si>
  <si>
    <t>Total Bankruptcy Orders</t>
  </si>
  <si>
    <t>Bankruptcy Orders where Income Payments Order obtained</t>
  </si>
  <si>
    <t>Bankruptcy Orders where Income Payments Agreement obtained</t>
  </si>
  <si>
    <t>Percentage of Bankruptcy Orders resulting in Income Payments</t>
  </si>
  <si>
    <t>Debt Relief Orders</t>
  </si>
  <si>
    <t>Table 1c</t>
  </si>
  <si>
    <t>Table 2c</t>
  </si>
  <si>
    <t>Total IPO / IPA</t>
  </si>
  <si>
    <t>Table 3</t>
  </si>
  <si>
    <t>Table 8</t>
  </si>
  <si>
    <t>Stats Pack</t>
  </si>
  <si>
    <t>CH</t>
  </si>
  <si>
    <t>Email</t>
  </si>
  <si>
    <t>TO BE CHANGED</t>
  </si>
  <si>
    <t>AiB</t>
  </si>
  <si>
    <t>DETINI</t>
  </si>
  <si>
    <t>DRO Unit</t>
  </si>
  <si>
    <t>Compulsory liquidations</t>
  </si>
  <si>
    <t>Table 1a</t>
  </si>
  <si>
    <t>Table 1b</t>
  </si>
  <si>
    <t>Bankruptcies resulting in IPO</t>
  </si>
  <si>
    <t>Bankruptcies resulting in IPA</t>
  </si>
  <si>
    <t>na</t>
  </si>
  <si>
    <t>Table 4a</t>
  </si>
  <si>
    <t>Total individual insolvencies</t>
  </si>
  <si>
    <t>Bankruptcies</t>
  </si>
  <si>
    <t>Individual voluntary arrangements</t>
  </si>
  <si>
    <t>Table 4b</t>
  </si>
  <si>
    <t>Individual insolvency rate</t>
  </si>
  <si>
    <t>Table 6a</t>
  </si>
  <si>
    <t>Other individuals</t>
  </si>
  <si>
    <t>Table 6b</t>
  </si>
  <si>
    <t>Table 7a</t>
  </si>
  <si>
    <t>Table 7b</t>
  </si>
  <si>
    <t>Table 9</t>
  </si>
  <si>
    <t>Table 10</t>
  </si>
  <si>
    <t>Rolling 12-month rate</t>
  </si>
  <si>
    <t>Table 11</t>
  </si>
  <si>
    <t>Total liquidations</t>
  </si>
  <si>
    <t>Table 12</t>
  </si>
  <si>
    <t>Table 13</t>
  </si>
  <si>
    <t xml:space="preserve"> </t>
  </si>
  <si>
    <t>Period</t>
  </si>
  <si>
    <t>Coverage</t>
  </si>
  <si>
    <t>Release date</t>
  </si>
  <si>
    <t>Frequency of release</t>
  </si>
  <si>
    <t>Next Update</t>
  </si>
  <si>
    <t>Media enquiries</t>
  </si>
  <si>
    <t>Ade Daramy</t>
  </si>
  <si>
    <t>+44 (0)20 7596 6187</t>
  </si>
  <si>
    <t>John Perrett</t>
  </si>
  <si>
    <t>statistics@insolvency.gsi.gov.uk</t>
  </si>
  <si>
    <t>020 7637 6504</t>
  </si>
  <si>
    <t>Website</t>
  </si>
  <si>
    <t>https://www.gov.uk/government/collections/insolvency-service-official-statistics</t>
  </si>
  <si>
    <t>Back to contents</t>
  </si>
  <si>
    <t>Company insolvencies</t>
  </si>
  <si>
    <t>England and Wales, seasonally adjusted</t>
  </si>
  <si>
    <t>Creditors' voluntary liquidations</t>
  </si>
  <si>
    <t>Receivership appointments</t>
  </si>
  <si>
    <t>1a</t>
  </si>
  <si>
    <t>1b</t>
  </si>
  <si>
    <t>England and Wales, not seasonally adjusted</t>
  </si>
  <si>
    <t>Creditors' voluntary liquidations following administration</t>
  </si>
  <si>
    <t>Number of cases</t>
  </si>
  <si>
    <t>2</t>
  </si>
  <si>
    <t>3</t>
  </si>
  <si>
    <t>Company liquidation rate</t>
  </si>
  <si>
    <t>England and Wales, rolling 12-month percentages of active companies</t>
  </si>
  <si>
    <t>CVL following administration</t>
  </si>
  <si>
    <t>4a</t>
  </si>
  <si>
    <t>Individual insolvencies</t>
  </si>
  <si>
    <t>4b</t>
  </si>
  <si>
    <t>5</t>
  </si>
  <si>
    <t>6a</t>
  </si>
  <si>
    <t>Petition type</t>
  </si>
  <si>
    <t>Self employment status</t>
  </si>
  <si>
    <t>Total bankruptcies</t>
  </si>
  <si>
    <t>No.</t>
  </si>
  <si>
    <t>%</t>
  </si>
  <si>
    <t>6b</t>
  </si>
  <si>
    <t>7a</t>
  </si>
  <si>
    <t>Income payment orders (IPOs) and agreements (IPAs)</t>
  </si>
  <si>
    <t>Based on date of bankruptcy order</t>
  </si>
  <si>
    <t>Bankruptcies resulting in income payment order or agreement</t>
  </si>
  <si>
    <t>Number</t>
  </si>
  <si>
    <t>7b</t>
  </si>
  <si>
    <t>Total IPOs and IPAs made in period</t>
  </si>
  <si>
    <t>Scotland, not seasonally adjusted</t>
  </si>
  <si>
    <t>9</t>
  </si>
  <si>
    <t>Scotland, rolling 12-month percentages of active companies</t>
  </si>
  <si>
    <t>10</t>
  </si>
  <si>
    <t>Northern Ireland, not seasonally adjusted</t>
  </si>
  <si>
    <t>11</t>
  </si>
  <si>
    <t>12</t>
  </si>
  <si>
    <t>Northern Ireland, rolling 12-month percentages of active companies</t>
  </si>
  <si>
    <t>13</t>
  </si>
  <si>
    <t>Quarterly</t>
  </si>
  <si>
    <t>p</t>
  </si>
  <si>
    <t>Table 8a</t>
  </si>
  <si>
    <t>Table 8b</t>
  </si>
  <si>
    <t>Table 14</t>
  </si>
  <si>
    <t>Bankruptcies by petition type</t>
  </si>
  <si>
    <t>8a</t>
  </si>
  <si>
    <t>8b</t>
  </si>
  <si>
    <t>14</t>
  </si>
  <si>
    <t>Description</t>
  </si>
  <si>
    <t>Seasonal adjustment</t>
  </si>
  <si>
    <t>z</t>
  </si>
  <si>
    <t>To access data tables, select the table headings or tabs.</t>
  </si>
  <si>
    <t>To return to the contents, click "Back to contents" link at the top of each page</t>
  </si>
  <si>
    <t>Table</t>
  </si>
  <si>
    <t>Some datasets are available both seasonally adjusted, and not seasonally adjusted.</t>
  </si>
  <si>
    <t>These are respectively denoted with 'a' and 'b' in the name of the table.</t>
  </si>
  <si>
    <t>Individual insolvencies in England and Wales</t>
  </si>
  <si>
    <t>Company insolvencies in England and Wales</t>
  </si>
  <si>
    <t>Company insolvencies in Scotland</t>
  </si>
  <si>
    <t>Individual insolvencies in Scotland</t>
  </si>
  <si>
    <t>Individual insolvencies in Northern Ireland</t>
  </si>
  <si>
    <t>Company insolvencies in Northern Ireland</t>
  </si>
  <si>
    <t>Adjustment</t>
  </si>
  <si>
    <t>Bankruptcies by self-employment status</t>
  </si>
  <si>
    <t>Tables 1 and 3</t>
  </si>
  <si>
    <t>Tables 2c and 2d</t>
  </si>
  <si>
    <t>NA</t>
  </si>
  <si>
    <t>Tables 4 and 5</t>
  </si>
  <si>
    <r>
      <t xml:space="preserve">Unadjusted figures are best for users who are interested in knowing the </t>
    </r>
    <r>
      <rPr>
        <b/>
        <sz val="10"/>
        <rFont val="Arial"/>
        <family val="2"/>
      </rPr>
      <t>number of insolvencies in one particular time period</t>
    </r>
    <r>
      <rPr>
        <sz val="10"/>
        <rFont val="Arial"/>
        <family val="2"/>
      </rPr>
      <t>.</t>
    </r>
  </si>
  <si>
    <t>Statistics by industry</t>
  </si>
  <si>
    <t>Unformatted data</t>
  </si>
  <si>
    <t>The statistics in these tables are also available in CSV format, going back to 1984 where available. Please follow the link on the cover page.</t>
  </si>
  <si>
    <t>This column shows where the equivalent statistics were located under the previous table structure.</t>
  </si>
  <si>
    <t>Note 1: Commencing with the January to March 2015 statistics, these tables have been restructured and reordered.</t>
  </si>
  <si>
    <r>
      <t>Creditors' voluntary liquidations</t>
    </r>
    <r>
      <rPr>
        <vertAlign val="superscript"/>
        <sz val="10"/>
        <color indexed="8"/>
        <rFont val="Arial Unicode MS"/>
        <family val="2"/>
      </rPr>
      <t>2</t>
    </r>
  </si>
  <si>
    <r>
      <rPr>
        <vertAlign val="superscript"/>
        <sz val="10"/>
        <color indexed="8"/>
        <rFont val="Arial Unicode MS"/>
        <family val="2"/>
      </rPr>
      <t>1</t>
    </r>
    <r>
      <rPr>
        <sz val="10"/>
        <color indexed="8"/>
        <rFont val="Arial Unicode MS"/>
        <family val="2"/>
      </rPr>
      <t xml:space="preserve"> Includes partnerships.</t>
    </r>
  </si>
  <si>
    <r>
      <rPr>
        <vertAlign val="superscript"/>
        <sz val="10"/>
        <color indexed="8"/>
        <rFont val="Arial Unicode MS"/>
        <family val="2"/>
      </rPr>
      <t>1</t>
    </r>
    <r>
      <rPr>
        <sz val="10"/>
        <color indexed="8"/>
        <rFont val="Arial Unicode MS"/>
        <family val="2"/>
      </rPr>
      <t xml:space="preserve"> Since the revisions to corporate administration under the Enterprise Act, those administrations which resulted in a Creditors' Voluntary Liquidation (CVL) have been separately recorded by Companies House.  These post-Administration new case CVLs are not included under the headline CVL figures at Table 1 as they do not represent a new company entering into an insolvency procedure for the first time.  Similar information for Administrations converting to a Compulsory Liquidation or to a Company Voluntary Arrangement is not available; however numbers of these are relatively low in comparison.</t>
    </r>
  </si>
  <si>
    <r>
      <t>Company liquidation rate</t>
    </r>
    <r>
      <rPr>
        <b/>
        <vertAlign val="superscript"/>
        <sz val="14"/>
        <rFont val="Arial Unicode MS"/>
        <family val="2"/>
      </rPr>
      <t>1</t>
    </r>
  </si>
  <si>
    <r>
      <rPr>
        <vertAlign val="superscript"/>
        <sz val="10"/>
        <color indexed="8"/>
        <rFont val="Arial Unicode MS"/>
        <family val="2"/>
      </rPr>
      <t>1</t>
    </r>
    <r>
      <rPr>
        <sz val="10"/>
        <color indexed="8"/>
        <rFont val="Arial Unicode MS"/>
        <family val="2"/>
      </rPr>
      <t xml:space="preserve"> Calculated from company liquidations in the latest twelve month period divided by the average number of active companies in that period. Active companies excludes dormant companies and companies in the process of being wound up.</t>
    </r>
  </si>
  <si>
    <r>
      <t>Company liquidation rate</t>
    </r>
    <r>
      <rPr>
        <b/>
        <vertAlign val="superscript"/>
        <sz val="14"/>
        <rFont val="Arial Unicode MS"/>
        <family val="2"/>
      </rPr>
      <t>1,2</t>
    </r>
  </si>
  <si>
    <r>
      <t>Bankruptcies</t>
    </r>
    <r>
      <rPr>
        <vertAlign val="superscript"/>
        <sz val="10"/>
        <color indexed="8"/>
        <rFont val="Arial Unicode MS"/>
        <family val="2"/>
      </rPr>
      <t>1</t>
    </r>
  </si>
  <si>
    <r>
      <rPr>
        <vertAlign val="superscript"/>
        <sz val="10"/>
        <color indexed="8"/>
        <rFont val="Arial Unicode MS"/>
        <family val="2"/>
      </rPr>
      <t>2</t>
    </r>
    <r>
      <rPr>
        <sz val="10"/>
        <color indexed="8"/>
        <rFont val="Arial Unicode MS"/>
        <family val="2"/>
      </rPr>
      <t xml:space="preserve"> Debt Relief Orders (DROs) came into effect on 6 April 2009 as an alternative route into individual insolvency. In April 2011 a change was introduced to the legislation to allow those who have built up value in a pension scheme to apply for debt relief under these provisions.</t>
    </r>
  </si>
  <si>
    <r>
      <t>Debt relief orders</t>
    </r>
    <r>
      <rPr>
        <vertAlign val="superscript"/>
        <sz val="10"/>
        <color indexed="8"/>
        <rFont val="Arial Unicode MS"/>
        <family val="2"/>
      </rPr>
      <t>2</t>
    </r>
  </si>
  <si>
    <r>
      <t>Individual voluntary arrangements</t>
    </r>
    <r>
      <rPr>
        <vertAlign val="superscript"/>
        <sz val="10"/>
        <color indexed="8"/>
        <rFont val="Arial Unicode MS"/>
        <family val="2"/>
      </rPr>
      <t>3</t>
    </r>
  </si>
  <si>
    <r>
      <rPr>
        <vertAlign val="superscript"/>
        <sz val="10"/>
        <color indexed="8"/>
        <rFont val="Arial Unicode MS"/>
        <family val="2"/>
      </rPr>
      <t>3</t>
    </r>
    <r>
      <rPr>
        <sz val="10"/>
        <color indexed="8"/>
        <rFont val="Arial Unicode MS"/>
        <family val="2"/>
      </rPr>
      <t xml:space="preserve"> Includes Deeds of Arrangement.</t>
    </r>
  </si>
  <si>
    <r>
      <t>England and Wales, rate per 10,000 adults</t>
    </r>
    <r>
      <rPr>
        <vertAlign val="superscript"/>
        <sz val="12"/>
        <rFont val="Arial Unicode MS"/>
        <family val="2"/>
      </rPr>
      <t>1</t>
    </r>
  </si>
  <si>
    <r>
      <rPr>
        <vertAlign val="superscript"/>
        <sz val="10"/>
        <color indexed="8"/>
        <rFont val="Arial Unicode MS"/>
        <family val="2"/>
      </rPr>
      <t>1</t>
    </r>
    <r>
      <rPr>
        <sz val="10"/>
        <color indexed="8"/>
        <rFont val="Arial Unicode MS"/>
        <family val="2"/>
      </rPr>
      <t xml:space="preserve"> Calculated as the sum of insolvencies over the 12 months ending in that period, divided by the average estimated adult (18+) population in England and Wales in that period (source: Office for National Statistics).</t>
    </r>
  </si>
  <si>
    <r>
      <t>England and Wales, seasonally adjusted</t>
    </r>
    <r>
      <rPr>
        <vertAlign val="superscript"/>
        <sz val="12"/>
        <rFont val="Arial Unicode MS"/>
        <family val="2"/>
      </rPr>
      <t>2</t>
    </r>
  </si>
  <si>
    <r>
      <t>Bankruptcies by petition type</t>
    </r>
    <r>
      <rPr>
        <b/>
        <vertAlign val="superscript"/>
        <sz val="14"/>
        <rFont val="Arial Unicode MS"/>
        <family val="2"/>
      </rPr>
      <t>1</t>
    </r>
  </si>
  <si>
    <r>
      <t xml:space="preserve">England and Wales, seasonally adjusted </t>
    </r>
    <r>
      <rPr>
        <vertAlign val="superscript"/>
        <sz val="12"/>
        <rFont val="Arial Unicode MS"/>
        <family val="2"/>
      </rPr>
      <t>2</t>
    </r>
  </si>
  <si>
    <r>
      <t>Bankruptcies by self employment status</t>
    </r>
    <r>
      <rPr>
        <b/>
        <vertAlign val="superscript"/>
        <sz val="14"/>
        <rFont val="Arial Unicode MS"/>
        <family val="2"/>
      </rPr>
      <t>1</t>
    </r>
  </si>
  <si>
    <t>1 Statistics available one quarter in arrears because of the time required for this information to be recorded.</t>
  </si>
  <si>
    <r>
      <rPr>
        <vertAlign val="superscript"/>
        <sz val="10"/>
        <color indexed="8"/>
        <rFont val="Arial Unicode MS"/>
        <family val="2"/>
      </rPr>
      <t>1</t>
    </r>
    <r>
      <rPr>
        <sz val="10"/>
        <color indexed="8"/>
        <rFont val="Arial Unicode MS"/>
        <family val="2"/>
      </rPr>
      <t xml:space="preserve"> Statistics available one quarter in arrears because of the time required for this information to be recorded.</t>
    </r>
  </si>
  <si>
    <r>
      <t>Self employed</t>
    </r>
    <r>
      <rPr>
        <vertAlign val="superscript"/>
        <sz val="10"/>
        <color indexed="8"/>
        <rFont val="Arial Unicode MS"/>
        <family val="2"/>
      </rPr>
      <t>2</t>
    </r>
  </si>
  <si>
    <r>
      <t>Self employed</t>
    </r>
    <r>
      <rPr>
        <vertAlign val="superscript"/>
        <sz val="10"/>
        <color indexed="8"/>
        <rFont val="Arial Unicode MS"/>
        <family val="2"/>
      </rPr>
      <t>3</t>
    </r>
  </si>
  <si>
    <r>
      <rPr>
        <vertAlign val="superscript"/>
        <sz val="10"/>
        <color indexed="8"/>
        <rFont val="Arial Unicode MS"/>
        <family val="2"/>
      </rPr>
      <t>3</t>
    </r>
    <r>
      <rPr>
        <sz val="10"/>
        <color indexed="8"/>
        <rFont val="Arial Unicode MS"/>
        <family val="2"/>
      </rPr>
      <t xml:space="preserve"> Changes have been made to the part of the database used to capture information on trading status and industry codes.  From 2006 Q4, "self-employed" includes the categories "self-employed"; "trader but failure not as a result of trading" and "trading partnership"; and "other individuals" includes "non-trading"; "non-surrender" and "unknown".  The breakdown by self-employment status from Q4 2006 should not therefore be considered to be entirely consistent with that for the earlier period.</t>
    </r>
  </si>
  <si>
    <r>
      <rPr>
        <vertAlign val="superscript"/>
        <sz val="10"/>
        <color indexed="8"/>
        <rFont val="Arial Unicode MS"/>
        <family val="2"/>
      </rPr>
      <t>2</t>
    </r>
    <r>
      <rPr>
        <sz val="10"/>
        <color indexed="8"/>
        <rFont val="Arial Unicode MS"/>
        <family val="2"/>
      </rPr>
      <t xml:space="preserve"> Changes have been made to the part of the database used to capture information on trading status and industry codes.  From 2006 Q4, "self-employed" includes the categories "self-employed"; "trader but failure not as a result of trading" and "trading partnership"; and "other individuals" includes "non-trading"; "non-surrender" and "unknown".  The breakdown by self-employment status from Q4 2006 should not therefore be considered to be entirely consistent with that for the earlier period.</t>
    </r>
  </si>
  <si>
    <r>
      <rPr>
        <vertAlign val="superscript"/>
        <sz val="10"/>
        <color indexed="8"/>
        <rFont val="Arial Unicode MS"/>
        <family val="2"/>
      </rPr>
      <t>2</t>
    </r>
    <r>
      <rPr>
        <sz val="10"/>
        <color indexed="8"/>
        <rFont val="Arial Unicode MS"/>
        <family val="2"/>
      </rPr>
      <t xml:space="preserve"> For any particular quarter, seasonally adjusted figures for self employed and other bankruptcies will not sum to the seasonally adjusted figure for total bankruptcies. This is because they have been adjusted separately using different models. Over a calendar year, the totals will match because of the model chosen.</t>
    </r>
  </si>
  <si>
    <r>
      <rPr>
        <vertAlign val="superscript"/>
        <sz val="10"/>
        <color indexed="8"/>
        <rFont val="Arial Unicode MS"/>
        <family val="2"/>
      </rPr>
      <t>2</t>
    </r>
    <r>
      <rPr>
        <sz val="10"/>
        <color indexed="8"/>
        <rFont val="Arial Unicode MS"/>
        <family val="2"/>
      </rPr>
      <t xml:space="preserve"> For any particular quarter, seasonally adjusted figures for creditor and debtor petition bankruptcies will not sum to the seasonally adjusted figure for total bankruptcies. This is because they have been adjusted separately using different models. Over a calendar year, the totals will match because of the model chosen.</t>
    </r>
  </si>
  <si>
    <r>
      <t>Bankruptcies resulting in income payment 
orders (IPOs) and agreements (IPAs)</t>
    </r>
    <r>
      <rPr>
        <b/>
        <vertAlign val="superscript"/>
        <sz val="14"/>
        <rFont val="Arial Unicode MS"/>
        <family val="2"/>
      </rPr>
      <t>1,2,3</t>
    </r>
  </si>
  <si>
    <r>
      <rPr>
        <vertAlign val="superscript"/>
        <sz val="10"/>
        <color indexed="8"/>
        <rFont val="Arial Unicode MS"/>
        <family val="2"/>
      </rPr>
      <t>4</t>
    </r>
    <r>
      <rPr>
        <sz val="10"/>
        <color indexed="8"/>
        <rFont val="Arial Unicode MS"/>
        <family val="2"/>
      </rPr>
      <t xml:space="preserve"> IPOs and IPAs have been seasonally adjusted as a combined series rather than separately because of changes in their relative use over the duration of this series.</t>
    </r>
  </si>
  <si>
    <r>
      <rPr>
        <vertAlign val="superscript"/>
        <sz val="10"/>
        <color indexed="8"/>
        <rFont val="Arial Unicode MS"/>
        <family val="2"/>
      </rPr>
      <t>1</t>
    </r>
    <r>
      <rPr>
        <sz val="10"/>
        <color indexed="8"/>
        <rFont val="Arial Unicode MS"/>
        <family val="2"/>
      </rPr>
      <t xml:space="preserve"> For bankruptcy cases which have been handed over by the Official Receiver to an insolvency practitioner to act as trustee, an IPO or IPA may, in a small number of cases, have been obtained after the date of the handover. The figures recorded may not include all such IPO/As.</t>
    </r>
  </si>
  <si>
    <r>
      <rPr>
        <vertAlign val="superscript"/>
        <sz val="10"/>
        <color indexed="8"/>
        <rFont val="Arial Unicode MS"/>
        <family val="2"/>
      </rPr>
      <t>2</t>
    </r>
    <r>
      <rPr>
        <sz val="10"/>
        <color indexed="8"/>
        <rFont val="Arial Unicode MS"/>
        <family val="2"/>
      </rPr>
      <t xml:space="preserve"> Prior to December 2010 a proportion of surplus disposable income was allowed to be retained by the bankrupt, post December 2010 all surplus disposable income was claimed by the Official Receiver as trustee. Another change in policy was implemented at the same time in that the minimum payment sought under an IPO/IPA reduced from £50 per month to £20 per month.</t>
    </r>
  </si>
  <si>
    <r>
      <rPr>
        <vertAlign val="superscript"/>
        <sz val="10"/>
        <color indexed="8"/>
        <rFont val="Arial Unicode MS"/>
        <family val="2"/>
      </rPr>
      <t>3</t>
    </r>
    <r>
      <rPr>
        <sz val="10"/>
        <color indexed="8"/>
        <rFont val="Arial Unicode MS"/>
        <family val="2"/>
      </rPr>
      <t xml:space="preserve"> Statistics are presented on the basis of the original bankruptcy order date. The data are two quarters in arrears as they take a period of time to administer for new bankruptcy cases. This means recent data are subject to change as more complex IPOs and IPAs are finalised.</t>
    </r>
  </si>
  <si>
    <r>
      <t>Income payment orders (IPOs) and agreements (IPAs)</t>
    </r>
    <r>
      <rPr>
        <b/>
        <vertAlign val="superscript"/>
        <sz val="14"/>
        <rFont val="Arial Unicode MS"/>
        <family val="2"/>
      </rPr>
      <t>1,2</t>
    </r>
  </si>
  <si>
    <r>
      <t xml:space="preserve">Based on date of bankruptcy order </t>
    </r>
    <r>
      <rPr>
        <vertAlign val="superscript"/>
        <sz val="10"/>
        <color indexed="8"/>
        <rFont val="Arial Unicode MS"/>
        <family val="2"/>
      </rPr>
      <t>3</t>
    </r>
  </si>
  <si>
    <r>
      <t>Based on date income payment ordered / agreed</t>
    </r>
    <r>
      <rPr>
        <vertAlign val="superscript"/>
        <sz val="10"/>
        <color indexed="8"/>
        <rFont val="Arial Unicode MS"/>
        <family val="2"/>
      </rPr>
      <t>4</t>
    </r>
  </si>
  <si>
    <r>
      <rPr>
        <vertAlign val="superscript"/>
        <sz val="10"/>
        <color indexed="8"/>
        <rFont val="Arial Unicode MS"/>
        <family val="2"/>
      </rPr>
      <t>4</t>
    </r>
    <r>
      <rPr>
        <sz val="10"/>
        <color indexed="8"/>
        <rFont val="Arial Unicode MS"/>
        <family val="2"/>
      </rPr>
      <t xml:space="preserve"> These statistics show numbers of IPOs and IPAs obtained in each period, regardless of when the original bankruptcy order was made. Therefore, they may not relate to the date of the original bankruptcy order.</t>
    </r>
  </si>
  <si>
    <t>Sources: Insolvency Service (compulsory liquidations only); Companies House (all other insolvency types).</t>
  </si>
  <si>
    <t>Source: Companies House.</t>
  </si>
  <si>
    <r>
      <rPr>
        <vertAlign val="superscript"/>
        <sz val="10"/>
        <color indexed="8"/>
        <rFont val="Arial Unicode MS"/>
        <family val="2"/>
      </rPr>
      <t>2</t>
    </r>
    <r>
      <rPr>
        <sz val="10"/>
        <color indexed="8"/>
        <rFont val="Arial Unicode MS"/>
        <family val="2"/>
      </rPr>
      <t xml:space="preserve"> Includes creditors' voluntary liquidations following administration. This is not consistent with the statistics for England and Wales (see Table 3) but prior to 2010 it is not possible to separate these CVLs out.</t>
    </r>
  </si>
  <si>
    <t>Source: Accountant in Bankruptcy.</t>
  </si>
  <si>
    <r>
      <rPr>
        <vertAlign val="superscript"/>
        <sz val="10"/>
        <color indexed="8"/>
        <rFont val="Arial Unicode MS"/>
        <family val="2"/>
      </rPr>
      <t>1</t>
    </r>
    <r>
      <rPr>
        <sz val="10"/>
        <color indexed="8"/>
        <rFont val="Arial Unicode MS"/>
        <family val="2"/>
      </rPr>
      <t xml:space="preserve"> On 1 April 2008, Part 1 of the Bankruptcy and Diligence etc. (Scotland) Act 2007 came into force making significant changes to some aspects of sequestration (bankruptcy), debt relief and debt enforcement in Scotland. This included the introduction of the new route into bankruptcy for people with low income and low assets (LILA).  Of the number or sequestrations, individuals who meet LILA criteria are shown in brackets.</t>
    </r>
  </si>
  <si>
    <t>Sources: Department for Enterprise, Trade and Investment Northern Ireland (compulsory liquidations); Companies House (CVLs and number of companies on the active register).</t>
  </si>
  <si>
    <r>
      <t>Debt relief orders</t>
    </r>
    <r>
      <rPr>
        <vertAlign val="superscript"/>
        <sz val="10"/>
        <color indexed="8"/>
        <rFont val="Arial Unicode MS"/>
        <family val="2"/>
      </rPr>
      <t>1</t>
    </r>
  </si>
  <si>
    <t>Source: Department for Enterprise, Trade and Investment, Northern Ireland.</t>
  </si>
  <si>
    <r>
      <rPr>
        <vertAlign val="superscript"/>
        <sz val="10"/>
        <color indexed="8"/>
        <rFont val="Arial Unicode MS"/>
        <family val="2"/>
      </rPr>
      <t>1</t>
    </r>
    <r>
      <rPr>
        <sz val="10"/>
        <color indexed="8"/>
        <rFont val="Arial Unicode MS"/>
        <family val="2"/>
      </rPr>
      <t xml:space="preserve"> Debt relief orders came into effect on 30 June 2011.</t>
    </r>
  </si>
  <si>
    <r>
      <t xml:space="preserve">Seasonally adjusted figures are best for </t>
    </r>
    <r>
      <rPr>
        <b/>
        <sz val="10"/>
        <rFont val="Arial"/>
        <family val="2"/>
      </rPr>
      <t>comparing trends over time</t>
    </r>
    <r>
      <rPr>
        <sz val="10"/>
        <rFont val="Arial"/>
        <family val="2"/>
      </rPr>
      <t xml:space="preserve"> as seasonal and calendar effects are removed, to produce a clearer picture of the underlying behaviour of the data.</t>
    </r>
  </si>
  <si>
    <t>These are available in a separate Excel file. Please follow the link on the cover page.</t>
  </si>
  <si>
    <r>
      <t>Previously found in</t>
    </r>
    <r>
      <rPr>
        <b/>
        <vertAlign val="superscript"/>
        <sz val="12"/>
        <rFont val="Arial"/>
        <family val="2"/>
      </rPr>
      <t>1</t>
    </r>
  </si>
  <si>
    <t>NA: not applicable. These statistics were first presented in the January to March 2015 publication.</t>
  </si>
  <si>
    <t>Key to symbols used in these tables</t>
  </si>
  <si>
    <t>Provisional</t>
  </si>
  <si>
    <t>r</t>
  </si>
  <si>
    <t>Revised</t>
  </si>
  <si>
    <t>Not applicable</t>
  </si>
  <si>
    <t>Not available</t>
  </si>
  <si>
    <t>Background notes</t>
  </si>
  <si>
    <t>Data sources and methodology</t>
  </si>
  <si>
    <t>Further information can be found in the</t>
  </si>
  <si>
    <t>Guide to Insolvency Statistics</t>
  </si>
  <si>
    <t>including high-level</t>
  </si>
  <si>
    <t>descriptions of the types of insolvency which apply to companies and people; the data</t>
  </si>
  <si>
    <t>recorded and any associated data quality issues; and legislation coming into effect in the</t>
  </si>
  <si>
    <t>period covered by the statistics, which may affect comparisons over time.</t>
  </si>
  <si>
    <t>More details may be found in Insolvency Statistics Methodology, the Statement of Administrative</t>
  </si>
  <si>
    <t>Sources, the Revisions Policy, and Data Quality Assurance and Audit Arrangements, on the</t>
  </si>
  <si>
    <t>policy and procedures</t>
  </si>
  <si>
    <t>section of the Insolvency Statistics website</t>
  </si>
  <si>
    <t>Data sources</t>
  </si>
  <si>
    <t xml:space="preserve">The statistics for England and Wales are derived from administrative records of the Insolvency </t>
  </si>
  <si>
    <t xml:space="preserve">Service and Companies House, both of which are Executive Agencies of the Department for </t>
  </si>
  <si>
    <t xml:space="preserve">Scotland are sourced from the Office of the Accountant in Bankruptcy (AiB). The Northern Ireland </t>
  </si>
  <si>
    <t xml:space="preserve">Companies House. The adult (18+) population data for England and Wales (used in the calculation </t>
  </si>
  <si>
    <t xml:space="preserve">of individual insolvency rates) are created using annual mid-year population estimates by single </t>
  </si>
  <si>
    <t xml:space="preserve">year of age sourced from the </t>
  </si>
  <si>
    <t>Office for National Statistics</t>
  </si>
  <si>
    <t>Methodology</t>
  </si>
  <si>
    <t>The statistics are produced via tabulation of raw data collected from the various sources.</t>
  </si>
  <si>
    <t xml:space="preserve">Seasonal adjustment is performed on certain data series. The X13-ARIMA-SEATS program </t>
  </si>
  <si>
    <t xml:space="preserve">(developed by the US Census Bureau) is used for the seasonal adjustment of the Insolvency </t>
  </si>
  <si>
    <t xml:space="preserve">Statistics, this being the recommended program within UK National Statistics.  Seasonal </t>
  </si>
  <si>
    <t xml:space="preserve">adjustment models are reviewed annually: the most recent review was completed in April 2014 </t>
  </si>
  <si>
    <t>with the outcome published on the</t>
  </si>
  <si>
    <t>page</t>
  </si>
  <si>
    <t>Revisions</t>
  </si>
  <si>
    <t>revisions policy.</t>
  </si>
  <si>
    <t xml:space="preserve">These statistics are subject to scheduled revisions, as set out in the published </t>
  </si>
  <si>
    <t xml:space="preserve">for data being extracted to produce the statistics. Such revisions tend to be small in the context of overall </t>
  </si>
  <si>
    <t xml:space="preserve">totals; nonetheless all figures in this release that have been revised since the previous edition have been </t>
  </si>
  <si>
    <t>highlighted in the relevant tables.</t>
  </si>
  <si>
    <t>Quality</t>
  </si>
  <si>
    <t xml:space="preserve">This section provides information on the quality of the Insolvency Statistics, to enable users to judge whether </t>
  </si>
  <si>
    <t xml:space="preserve">or not the data are of sufficient quality for their intended use. The section is structured in terms of the six </t>
  </si>
  <si>
    <t>European Statistical system.</t>
  </si>
  <si>
    <t xml:space="preserve">quality dimensions of the </t>
  </si>
  <si>
    <t xml:space="preserve">Further information can be found in the </t>
  </si>
  <si>
    <t xml:space="preserve">statement on quality strategy, principles and processes, </t>
  </si>
  <si>
    <t>which cover all our Official Statistics outputs.</t>
  </si>
  <si>
    <r>
      <t xml:space="preserve">Relevance </t>
    </r>
    <r>
      <rPr>
        <i/>
        <sz val="10"/>
        <rFont val="Arial"/>
        <family val="2"/>
      </rPr>
      <t>(the degree to which the statistical product meets user needs for both coverage and content)</t>
    </r>
  </si>
  <si>
    <t xml:space="preserve">The Insolvency Statistics are the most comprehensive record of the number of corporate and individual </t>
  </si>
  <si>
    <t xml:space="preserve">insolvencies in England and Wales. They include all formal types of insolvency procedure currently available. </t>
  </si>
  <si>
    <t xml:space="preserve">Insolvencies in Scotland and Northern Ireland are also included, but are shown separately as they are covered </t>
  </si>
  <si>
    <t xml:space="preserve">by separate legislation. There are some differences in definition, and policy responsibility for them lies within </t>
  </si>
  <si>
    <t xml:space="preserve">the devolved administrations. The Statistics Release itself covers the most recent 10 years of annual and </t>
  </si>
  <si>
    <t xml:space="preserve">quarterly figures; while historic data series are also available (back to 1960 in some cases), as are related </t>
  </si>
  <si>
    <t>sets of Official Statistics on insolvency.</t>
  </si>
  <si>
    <t xml:space="preserve">Key users of the Insolvency Statistics include the Insolvency Service itself, which has policy responsibility for </t>
  </si>
  <si>
    <t xml:space="preserve">insolvency in England and Wales and for the non-devolved areas within Scotland and Northern Ireland; other </t>
  </si>
  <si>
    <t xml:space="preserve">government departments; parliament; the insolvency profession; debt advice agencies; media organisations; </t>
  </si>
  <si>
    <t xml:space="preserve">academics; the financial sector; the business community and the general public. The headline quarterly </t>
  </si>
  <si>
    <t>statistics are widely reported in national, regional and specialist media on the day of release.</t>
  </si>
  <si>
    <t xml:space="preserve">The statistical production team welcomes feedback from users of the Insolvency Statistics (current contact </t>
  </si>
  <si>
    <t xml:space="preserve">details are provided at the beginning of this release). More formal engagement with users has recently </t>
  </si>
  <si>
    <t>included a user feedback survey on Insolvency Service Official Statistics, the results of which will be published</t>
  </si>
  <si>
    <t xml:space="preserve"> soon.</t>
  </si>
  <si>
    <r>
      <t xml:space="preserve">Accuracy and Completeness </t>
    </r>
    <r>
      <rPr>
        <i/>
        <sz val="10"/>
        <rFont val="Arial"/>
        <family val="2"/>
      </rPr>
      <t xml:space="preserve">(including the closeness between an estimated or stated result and the </t>
    </r>
  </si>
  <si>
    <t>[unknown] true value)</t>
  </si>
  <si>
    <t xml:space="preserve">All formal insolvency procedures entered into by a company, a partnership or an individual are required by law </t>
  </si>
  <si>
    <t xml:space="preserve">to be reported to the appropriate body, so the statistics should be a complete record of insolvency in the </t>
  </si>
  <si>
    <t>United Kingdom.</t>
  </si>
  <si>
    <r>
      <t>Coherence</t>
    </r>
    <r>
      <rPr>
        <sz val="10"/>
        <rFont val="Arial"/>
        <family val="2"/>
      </rPr>
      <t xml:space="preserve"> </t>
    </r>
    <r>
      <rPr>
        <i/>
        <sz val="10"/>
        <rFont val="Arial"/>
        <family val="2"/>
      </rPr>
      <t xml:space="preserve">(the degree to which data which are derived from different sources or methods, but which refer to </t>
    </r>
  </si>
  <si>
    <t>the same phenomenon, are similar)</t>
  </si>
  <si>
    <t xml:space="preserve">statistics for individual voluntary arrangements, both as Official Statistics. These report figures on an annual </t>
  </si>
  <si>
    <t xml:space="preserve">case selection criteria and/or the database from which they are sourced; this means that the totals are not </t>
  </si>
  <si>
    <t>identical between different outputs.</t>
  </si>
  <si>
    <t>basis, and they differ from the headline quarterly Insolvency Statistics in that there are some differences in the</t>
  </si>
  <si>
    <t xml:space="preserve">Companies House </t>
  </si>
  <si>
    <t xml:space="preserve">produces monthly official statistics on company insolvencies registered each week, and totals </t>
  </si>
  <si>
    <t xml:space="preserve">for the period covered by the publication (either four or five weeks). These are not consistent with the Insolvency </t>
  </si>
  <si>
    <t xml:space="preserve">The Accountant in Bankruptcy </t>
  </si>
  <si>
    <t xml:space="preserve">(AiB) is required to be notified of all company liquidations and receiverships in </t>
  </si>
  <si>
    <t xml:space="preserve">Scotland, and publishes quarterly official statistics based on its own administrative records. These differ from the </t>
  </si>
  <si>
    <t xml:space="preserve">publication. These statistics relate to all registered businesses, whereas the Insolvency Statistics relate to </t>
  </si>
  <si>
    <t>companies on the Companies House register. Not all business deaths are because of insolvency.</t>
  </si>
  <si>
    <t xml:space="preserve">The Office for National Statistics produces annual statistics on business “deaths” in its </t>
  </si>
  <si>
    <t xml:space="preserve">Business Demography </t>
  </si>
  <si>
    <r>
      <t xml:space="preserve">Timeliness and Punctuality </t>
    </r>
    <r>
      <rPr>
        <i/>
        <sz val="10"/>
        <rFont val="Arial"/>
        <family val="2"/>
      </rPr>
      <t xml:space="preserve">(Timeliness refers to the elapsed time between publication and the period to which </t>
    </r>
  </si>
  <si>
    <t>the data refer. Punctuality refers to the time lag between the actual and planned dates of publication.)</t>
  </si>
  <si>
    <t xml:space="preserve">The Insolvency Statistics are usually published on the 29th of the month following the end of the quarter being </t>
  </si>
  <si>
    <t xml:space="preserve">reported on; this is the earliest publication date which ensures receipt of all the data inputs, and allows sufficient </t>
  </si>
  <si>
    <t xml:space="preserve">time for liaising with data suppliers and completing all the steps between this and compilation of the statistical </t>
  </si>
  <si>
    <t xml:space="preserve">release in its final form ready for publication. The exception to this is where the 29th falls on a weekend or a </t>
  </si>
  <si>
    <t xml:space="preserve">Monday, when the statistics will be delayed until the following Tuesday, or brought forward to an earlier date if </t>
  </si>
  <si>
    <t>possible.</t>
  </si>
  <si>
    <t xml:space="preserve">There is a publication schedule for a year ahead available on the </t>
  </si>
  <si>
    <t xml:space="preserve">UK National Statistics Publication Hub </t>
  </si>
  <si>
    <t>and the statistics have always been published on target.</t>
  </si>
  <si>
    <r>
      <t xml:space="preserve">Accessibility and Clarity </t>
    </r>
    <r>
      <rPr>
        <i/>
        <sz val="10"/>
        <rFont val="Arial"/>
        <family val="2"/>
      </rPr>
      <t xml:space="preserve">(Accessibility is the ease with which users are able to access the data. It also relates </t>
    </r>
  </si>
  <si>
    <t xml:space="preserve">to the format in which the data are available and the availability of supporting information. Clarity refers to the </t>
  </si>
  <si>
    <t>quality and sufficiency of metadata, illustrations and accompanying advice)</t>
  </si>
  <si>
    <t xml:space="preserve">The Insolvency Statistics are available free of charge to the end user on the </t>
  </si>
  <si>
    <t xml:space="preserve">Insolvency Service website. </t>
  </si>
  <si>
    <t xml:space="preserve">They are released via the </t>
  </si>
  <si>
    <t>Code of Practice for Official Statistics.</t>
  </si>
  <si>
    <t xml:space="preserve">Publication Hub </t>
  </si>
  <si>
    <t xml:space="preserve">and they meet the standards required under the </t>
  </si>
  <si>
    <t>National Archives</t>
  </si>
  <si>
    <t>Historic data are also published for the key series, on the</t>
  </si>
  <si>
    <t>website.</t>
  </si>
  <si>
    <r>
      <t>Comparability</t>
    </r>
    <r>
      <rPr>
        <sz val="10"/>
        <rFont val="Arial"/>
        <family val="2"/>
      </rPr>
      <t xml:space="preserve"> </t>
    </r>
    <r>
      <rPr>
        <i/>
        <sz val="10"/>
        <rFont val="Arial"/>
        <family val="2"/>
      </rPr>
      <t>(the degree to which data can be compared over time and domain)</t>
    </r>
  </si>
  <si>
    <t xml:space="preserve">Changes in legislation and policy can affect the extent to which comparisons can be made over time for individual </t>
  </si>
  <si>
    <t xml:space="preserve">data series. Where such changes are known, they have been highlighted in explanatory notes at the bottom of the </t>
  </si>
  <si>
    <t xml:space="preserve">tables. Further information can be found in the </t>
  </si>
  <si>
    <t>Guide to Insolvency Statistics.</t>
  </si>
  <si>
    <t xml:space="preserve">The series for bankruptcy orders will have been impacted by the introduction (with effect from 6 April 2009) of debt </t>
  </si>
  <si>
    <t xml:space="preserve">relief orders (DROs). DROs comprise some of those individuals who would have otherwise been declared bankrupt </t>
  </si>
  <si>
    <t xml:space="preserve">(a subset of DRO-eligible cases, who were advised of the DRO route and chose to take it) and other individuals </t>
  </si>
  <si>
    <t xml:space="preserve">who, perhaps, could not have afforded the fee to enter into bankruptcy and who may have otherwise been in an </t>
  </si>
  <si>
    <t xml:space="preserve">informal debt management process, or been unable to access any form of debt resolution. It is not possible to </t>
  </si>
  <si>
    <t>quantify exactly the impact of the introduction of DROs on the number of bankruptcy orders.</t>
  </si>
  <si>
    <r>
      <t>Debt relief orders</t>
    </r>
    <r>
      <rPr>
        <vertAlign val="superscript"/>
        <sz val="10"/>
        <color indexed="8"/>
        <rFont val="Arial Unicode MS"/>
        <family val="2"/>
      </rPr>
      <t>2,4</t>
    </r>
  </si>
  <si>
    <r>
      <rPr>
        <vertAlign val="superscript"/>
        <sz val="10"/>
        <color indexed="8"/>
        <rFont val="Arial Unicode MS"/>
        <family val="2"/>
      </rPr>
      <t>4</t>
    </r>
    <r>
      <rPr>
        <sz val="10"/>
        <color indexed="8"/>
        <rFont val="Arial Unicode MS"/>
        <family val="2"/>
      </rPr>
      <t xml:space="preserve"> The data for debt relief orders do not demonstrate a seasonal pattern. The seasonally adjusted data is therefore identical to the unadjusted data.</t>
    </r>
  </si>
  <si>
    <t>Views on the clarity of the publication are welcomed via the contact details on the cover page of this release.</t>
  </si>
  <si>
    <t>See also the</t>
  </si>
  <si>
    <t>for additional specific aspects relevant to comparability.</t>
  </si>
  <si>
    <r>
      <t xml:space="preserve">England and Wales, seasonally adjusted </t>
    </r>
    <r>
      <rPr>
        <vertAlign val="superscript"/>
        <sz val="12"/>
        <rFont val="Arial Unicode MS"/>
        <family val="2"/>
      </rPr>
      <t>4</t>
    </r>
  </si>
  <si>
    <r>
      <t>Sequestrations (of which LILA/MAP)</t>
    </r>
    <r>
      <rPr>
        <vertAlign val="superscript"/>
        <sz val="10"/>
        <color indexed="8"/>
        <rFont val="Arial Unicode MS"/>
        <family val="2"/>
      </rPr>
      <t>1, 2</t>
    </r>
  </si>
  <si>
    <r>
      <rPr>
        <vertAlign val="superscript"/>
        <sz val="10"/>
        <color indexed="8"/>
        <rFont val="Arial Unicode MS"/>
        <family val="2"/>
      </rPr>
      <t>2</t>
    </r>
    <r>
      <rPr>
        <sz val="10"/>
        <color indexed="8"/>
        <rFont val="Arial Unicode MS"/>
        <family val="2"/>
      </rPr>
      <t xml:space="preserve"> On 1 April 2015, part of the Bankruptcy and Debt Advice (Scotland) Act came into force making significant changes to some aspects of sequestration (bankruptcy). This included the introduction of the Minimal Asset Process (MAP), which replaced the LILA route into sequestration; mandatory debt advice for people seeking statutory debt relief; a new online process for applying for sequestration; and an additional year for people to make contributions to repaying their debts (increasing from three years to four, in line with protected trust deeds).</t>
    </r>
  </si>
  <si>
    <r>
      <t>Receivership appointments</t>
    </r>
    <r>
      <rPr>
        <vertAlign val="superscript"/>
        <sz val="10"/>
        <color indexed="8"/>
        <rFont val="Arial Unicode MS"/>
        <family val="2"/>
      </rPr>
      <t>9</t>
    </r>
  </si>
  <si>
    <r>
      <t>Company voluntary arrangements</t>
    </r>
    <r>
      <rPr>
        <vertAlign val="superscript"/>
        <sz val="10"/>
        <color indexed="8"/>
        <rFont val="Arial Unicode MS"/>
        <family val="2"/>
      </rPr>
      <t>8</t>
    </r>
  </si>
  <si>
    <r>
      <t>Administrations</t>
    </r>
    <r>
      <rPr>
        <vertAlign val="superscript"/>
        <sz val="10"/>
        <color indexed="8"/>
        <rFont val="Arial Unicode MS"/>
        <family val="2"/>
      </rPr>
      <t>5,6,7</t>
    </r>
  </si>
  <si>
    <r>
      <t>New creditors' voluntary liquidations</t>
    </r>
    <r>
      <rPr>
        <vertAlign val="superscript"/>
        <sz val="10"/>
        <color indexed="8"/>
        <rFont val="Arial Unicode MS"/>
        <family val="2"/>
      </rPr>
      <t>3</t>
    </r>
  </si>
  <si>
    <r>
      <t>Company insolvencies</t>
    </r>
    <r>
      <rPr>
        <b/>
        <vertAlign val="superscript"/>
        <sz val="14"/>
        <rFont val="Arial Unicode MS"/>
        <family val="2"/>
      </rPr>
      <t>1,2</t>
    </r>
  </si>
  <si>
    <r>
      <rPr>
        <vertAlign val="superscript"/>
        <sz val="10"/>
        <color indexed="8"/>
        <rFont val="Arial Unicode MS"/>
        <family val="2"/>
      </rPr>
      <t>4</t>
    </r>
    <r>
      <rPr>
        <sz val="10"/>
        <color indexed="8"/>
        <rFont val="Arial Unicode MS"/>
        <family val="2"/>
      </rPr>
      <t xml:space="preserve"> Figures from 2011 Q2 onwards based on the date the winding-up order was granted by the court.</t>
    </r>
  </si>
  <si>
    <r>
      <rPr>
        <vertAlign val="superscript"/>
        <sz val="10"/>
        <color indexed="8"/>
        <rFont val="Arial Unicode MS"/>
        <family val="2"/>
      </rPr>
      <t>5</t>
    </r>
    <r>
      <rPr>
        <sz val="10"/>
        <color indexed="8"/>
        <rFont val="Arial Unicode MS"/>
        <family val="2"/>
      </rPr>
      <t xml:space="preserve"> Releases prior to 2012 Q4 showed administrations separately as "Administrator Appointments" and "In Administration - Enterprise Act".</t>
    </r>
  </si>
  <si>
    <r>
      <rPr>
        <vertAlign val="superscript"/>
        <sz val="10"/>
        <rFont val="Arial Unicode MS"/>
        <family val="2"/>
      </rPr>
      <t>6</t>
    </r>
    <r>
      <rPr>
        <sz val="10"/>
        <rFont val="Arial Unicode MS"/>
        <family val="2"/>
      </rPr>
      <t xml:space="preserve"> The figure for Q4 2006 includes 844 separate, limited companies created and managed by "Safe Solutions Accountancy Limited" for which Grant Thornton was appointed administrator.</t>
    </r>
  </si>
  <si>
    <r>
      <rPr>
        <vertAlign val="superscript"/>
        <sz val="10"/>
        <rFont val="Arial Unicode MS"/>
        <family val="2"/>
      </rPr>
      <t>8</t>
    </r>
    <r>
      <rPr>
        <sz val="10"/>
        <rFont val="Arial Unicode MS"/>
        <family val="2"/>
      </rPr>
      <t xml:space="preserve"> The figure for Q2 2012 includes 104 new CVAs recorded under "Health and Social Work" in June reflecting the fact that on 20 June 2012 156 companies in the Southern Cross Healthcare Group had CVAs approved.</t>
    </r>
  </si>
  <si>
    <t>e</t>
  </si>
  <si>
    <t>Estimate</t>
  </si>
  <si>
    <r>
      <rPr>
        <vertAlign val="superscript"/>
        <sz val="10"/>
        <rFont val="Arial Unicode MS"/>
        <family val="2"/>
      </rPr>
      <t>7</t>
    </r>
    <r>
      <rPr>
        <sz val="10"/>
        <rFont val="Arial Unicode MS"/>
        <family val="2"/>
      </rPr>
      <t xml:space="preserve"> The figure for Q3 2008 includes 728 separate managed service companies. </t>
    </r>
  </si>
  <si>
    <r>
      <rPr>
        <vertAlign val="superscript"/>
        <sz val="10"/>
        <color indexed="8"/>
        <rFont val="Arial Unicode MS"/>
        <family val="2"/>
      </rPr>
      <t>10</t>
    </r>
    <r>
      <rPr>
        <sz val="10"/>
        <color indexed="8"/>
        <rFont val="Arial Unicode MS"/>
        <family val="2"/>
      </rPr>
      <t xml:space="preserve"> The data for compulsory liquidations, company voluntary arrangements do not demonstrate a seasonal pattern. The seasonally adjusted data is therefore identical to the unadjusted data.</t>
    </r>
  </si>
  <si>
    <r>
      <t>Receivership appointments</t>
    </r>
    <r>
      <rPr>
        <vertAlign val="superscript"/>
        <sz val="10"/>
        <color indexed="8"/>
        <rFont val="Arial Unicode MS"/>
        <family val="2"/>
      </rPr>
      <t>9,10</t>
    </r>
  </si>
  <si>
    <r>
      <t>Company voluntary arrangements</t>
    </r>
    <r>
      <rPr>
        <vertAlign val="superscript"/>
        <sz val="10"/>
        <color indexed="8"/>
        <rFont val="Arial Unicode MS"/>
        <family val="2"/>
      </rPr>
      <t>8,10</t>
    </r>
  </si>
  <si>
    <r>
      <t>Creditors' voluntary liquidations</t>
    </r>
    <r>
      <rPr>
        <vertAlign val="superscript"/>
        <sz val="10"/>
        <color indexed="8"/>
        <rFont val="Arial Unicode MS"/>
        <family val="2"/>
      </rPr>
      <t>3</t>
    </r>
  </si>
  <si>
    <r>
      <t>Creditors' voluntary liquidations following administration</t>
    </r>
    <r>
      <rPr>
        <b/>
        <vertAlign val="superscript"/>
        <sz val="14"/>
        <rFont val="Arial Unicode MS"/>
        <family val="2"/>
      </rPr>
      <t>1,2</t>
    </r>
  </si>
  <si>
    <r>
      <rPr>
        <vertAlign val="superscript"/>
        <sz val="10"/>
        <color indexed="8"/>
        <rFont val="Arial Unicode MS"/>
        <family val="2"/>
      </rPr>
      <t>3</t>
    </r>
    <r>
      <rPr>
        <sz val="10"/>
        <color indexed="8"/>
        <rFont val="Arial Unicode MS"/>
        <family val="2"/>
      </rPr>
      <t xml:space="preserve"> Releases prior to 2012 Q4 excluded CVLs following administration. The entire series was revised from 2013 Q1 to include these liquidations.</t>
    </r>
  </si>
  <si>
    <r>
      <t>Company liquidation rate</t>
    </r>
    <r>
      <rPr>
        <b/>
        <vertAlign val="superscript"/>
        <sz val="14"/>
        <rFont val="Arial Unicode MS"/>
        <family val="2"/>
      </rPr>
      <t>1,2,3</t>
    </r>
  </si>
  <si>
    <t>Total new company insolvencies4</t>
  </si>
  <si>
    <r>
      <t>Compulsory liquidations</t>
    </r>
    <r>
      <rPr>
        <vertAlign val="superscript"/>
        <sz val="10"/>
        <color indexed="8"/>
        <rFont val="Arial Unicode MS"/>
        <family val="2"/>
      </rPr>
      <t>3</t>
    </r>
  </si>
  <si>
    <r>
      <t>New creditors' voluntary liquidations</t>
    </r>
    <r>
      <rPr>
        <vertAlign val="superscript"/>
        <sz val="10"/>
        <color indexed="8"/>
        <rFont val="Arial Unicode MS"/>
        <family val="2"/>
      </rPr>
      <t>4,5</t>
    </r>
  </si>
  <si>
    <r>
      <rPr>
        <vertAlign val="superscript"/>
        <sz val="10"/>
        <color indexed="8"/>
        <rFont val="Arial Unicode MS"/>
        <family val="2"/>
      </rPr>
      <t>3</t>
    </r>
    <r>
      <rPr>
        <sz val="10"/>
        <color indexed="8"/>
        <rFont val="Arial Unicode MS"/>
        <family val="2"/>
      </rPr>
      <t xml:space="preserve"> Source: Department for Enterprise, Trade and Investment, Northern Ireland.</t>
    </r>
  </si>
  <si>
    <r>
      <rPr>
        <vertAlign val="superscript"/>
        <sz val="10"/>
        <color indexed="8"/>
        <rFont val="Arial Unicode MS"/>
        <family val="2"/>
      </rPr>
      <t>4</t>
    </r>
    <r>
      <rPr>
        <sz val="10"/>
        <color indexed="8"/>
        <rFont val="Arial Unicode MS"/>
        <family val="2"/>
      </rPr>
      <t xml:space="preserve"> Source: Companies House.</t>
    </r>
  </si>
  <si>
    <r>
      <t>Administrations</t>
    </r>
    <r>
      <rPr>
        <vertAlign val="superscript"/>
        <sz val="10"/>
        <color indexed="8"/>
        <rFont val="Arial Unicode MS"/>
        <family val="2"/>
      </rPr>
      <t>4</t>
    </r>
  </si>
  <si>
    <r>
      <t>Administrative receiverships</t>
    </r>
    <r>
      <rPr>
        <vertAlign val="superscript"/>
        <sz val="10"/>
        <color indexed="8"/>
        <rFont val="Arial Unicode MS"/>
        <family val="2"/>
      </rPr>
      <t>4</t>
    </r>
  </si>
  <si>
    <r>
      <t>Company voluntary arrangements</t>
    </r>
    <r>
      <rPr>
        <vertAlign val="superscript"/>
        <sz val="10"/>
        <color indexed="8"/>
        <rFont val="Arial Unicode MS"/>
        <family val="2"/>
      </rPr>
      <t>4</t>
    </r>
  </si>
  <si>
    <t>More information is available in a separate</t>
  </si>
  <si>
    <t>methodology document</t>
  </si>
  <si>
    <t xml:space="preserve">Other revisions tend to be made as a result of data being entered onto administrative systems after the cut-off date </t>
  </si>
  <si>
    <t xml:space="preserve">Figures sourced from Companies House are estimated in the first instance, then revised the following quarter </t>
  </si>
  <si>
    <t>to reflect cases being entered on to the administrative system at a later date. The size of such revisions will vary.</t>
  </si>
  <si>
    <t>More information can be found in the</t>
  </si>
  <si>
    <t>analysis of prediction errors.</t>
  </si>
  <si>
    <t xml:space="preserve">Figures sourced from Companies House were revised in 2015 to reflect a new method for counting company </t>
  </si>
  <si>
    <t xml:space="preserve">insolvencies. A time series on the new basis was provided back to 2007Q1 for England and Wales, and for Scotland. </t>
  </si>
  <si>
    <t xml:space="preserve">For Northern Ireland, the data required were only available back to 2010. However, it should also be noted that </t>
  </si>
  <si>
    <t xml:space="preserve">because the revised counts have been run against a live database, they do not exactly reflect the original numbers </t>
  </si>
  <si>
    <t>of new cases that would have been reported.</t>
  </si>
  <si>
    <t>Generally speaking, numbers of cases are based on the date of the order or agreement of the insolvency procedure,</t>
  </si>
  <si>
    <t xml:space="preserve">not on the date it was registered on the administrative recording system. The implication of this is that the published </t>
  </si>
  <si>
    <t xml:space="preserve">figures will be influenced by, for example, the late reporting of orders made leading to missing data.  The exceptions </t>
  </si>
  <si>
    <t xml:space="preserve">for England and Wales are: compulsory liquidations and bankruptcy orders before Q2 2011; individual voluntary </t>
  </si>
  <si>
    <t xml:space="preserve">arrangements; and corporate insolvencies before Q1 2007 (when the methodology changed). This should be noted </t>
  </si>
  <si>
    <t xml:space="preserve">when making comparisons of trends over time. Checks are in place to identify and remove duplication of cases, </t>
  </si>
  <si>
    <t>to ensure that returns cover all reporting areas, and to check consistency within tables and between related tables.</t>
  </si>
  <si>
    <t xml:space="preserve">The Insolvency Service also publishes individual insolvency statistics by location, age and gender, and outcome </t>
  </si>
  <si>
    <t>Statistics, which cover calendar quarters. There are also differences in counting rules.</t>
  </si>
  <si>
    <t xml:space="preserve">Insolvency Statistics, which use data from Companies House as the source. Differences are due to the Accountant </t>
  </si>
  <si>
    <t xml:space="preserve">in Bankruptcy using its own administrative system’s date rather than the start date of the insolvency. AiB does not </t>
  </si>
  <si>
    <t xml:space="preserve">publish information on the number of company voluntary arrangements or administrations, which are a reserved </t>
  </si>
  <si>
    <t xml:space="preserve">matter for the UK government. AiB also publishes quarterly statistics on the number of individual insolvencies, </t>
  </si>
  <si>
    <t>which are reproduced in the Insolvency Statistics.</t>
  </si>
  <si>
    <t xml:space="preserve">Company insolvency statistics after 2007 Q1 (England and Wales, and Scotland) and 2010 Q1 (Northern Ireland) </t>
  </si>
  <si>
    <t>are not directly comparable with earlier periods because of a change to methods.</t>
  </si>
  <si>
    <t>National Statistics</t>
  </si>
  <si>
    <t xml:space="preserve">The United Kingdom Statistics Authority has designated these statistics as National Statistics, in accordance with the </t>
  </si>
  <si>
    <t>Statistics and Registration Service Act 2007 and signifying compliance with the Code of Practice for Official Statistics.</t>
  </si>
  <si>
    <t>Designation can be broadly interpreted to mean that the statistics:</t>
  </si>
  <si>
    <t>are well explained and readily accessible;</t>
  </si>
  <si>
    <t>meet identified user needs;</t>
  </si>
  <si>
    <t>are produced according to sound methods; and</t>
  </si>
  <si>
    <t>are managed impartially and objectively in the public interest.</t>
  </si>
  <si>
    <t>Once statistics have been designated as National Statistics it is a statutory requirement that the Code of Practice</t>
  </si>
  <si>
    <t>shall continue to be observed.</t>
  </si>
  <si>
    <r>
      <rPr>
        <vertAlign val="superscript"/>
        <sz val="10"/>
        <color indexed="8"/>
        <rFont val="Arial Unicode MS"/>
        <family val="2"/>
      </rPr>
      <t>2</t>
    </r>
    <r>
      <rPr>
        <sz val="10"/>
        <color indexed="8"/>
        <rFont val="Arial Unicode MS"/>
        <family val="2"/>
      </rPr>
      <t xml:space="preserve"> Data from 2009Q4 are not consistent with earlier data because of a change to the methodology. This does not affect compulsory liquidations. Data for Northern Ireland prior to 2010 are not available under the new methodology.</t>
    </r>
  </si>
  <si>
    <r>
      <rPr>
        <vertAlign val="superscript"/>
        <sz val="10"/>
        <color indexed="8"/>
        <rFont val="Arial Unicode MS"/>
        <family val="2"/>
      </rPr>
      <t>5</t>
    </r>
    <r>
      <rPr>
        <sz val="10"/>
        <color indexed="8"/>
        <rFont val="Arial Unicode MS"/>
        <family val="2"/>
      </rPr>
      <t xml:space="preserve"> Data before 2009Q4 includes creditors' voluntary liquidations following administration as under the previous methodology it is not possible to separate these CVLs out.</t>
    </r>
  </si>
  <si>
    <r>
      <rPr>
        <vertAlign val="superscript"/>
        <sz val="10"/>
        <color indexed="8"/>
        <rFont val="Arial Unicode MS"/>
        <family val="2"/>
      </rPr>
      <t>2</t>
    </r>
    <r>
      <rPr>
        <sz val="10"/>
        <color indexed="8"/>
        <rFont val="Arial Unicode MS"/>
        <family val="2"/>
      </rPr>
      <t xml:space="preserve"> Data from 2000Q1 are not consistent with earlier data because of a change to the methodology. This does not affect compulsory liquidations.</t>
    </r>
  </si>
  <si>
    <r>
      <rPr>
        <vertAlign val="superscript"/>
        <sz val="10"/>
        <color indexed="8"/>
        <rFont val="Arial Unicode MS"/>
        <family val="2"/>
      </rPr>
      <t>1</t>
    </r>
    <r>
      <rPr>
        <sz val="10"/>
        <color indexed="8"/>
        <rFont val="Arial Unicode MS"/>
        <family val="2"/>
      </rPr>
      <t xml:space="preserve"> Data from 2000Q1 are not consistent with earlier data because of a change to the methodology. This does not affect compulsory liquidations.</t>
    </r>
  </si>
  <si>
    <r>
      <rPr>
        <vertAlign val="superscript"/>
        <sz val="10"/>
        <color indexed="8"/>
        <rFont val="Arial Unicode MS"/>
        <family val="2"/>
      </rPr>
      <t>2</t>
    </r>
    <r>
      <rPr>
        <sz val="10"/>
        <color indexed="8"/>
        <rFont val="Arial Unicode MS"/>
        <family val="2"/>
      </rPr>
      <t xml:space="preserve"> Excludes creditors' voluntary liquidations following administration (See Table 2).</t>
    </r>
  </si>
  <si>
    <r>
      <rPr>
        <vertAlign val="superscript"/>
        <sz val="10"/>
        <color indexed="8"/>
        <rFont val="Arial Unicode MS"/>
        <family val="2"/>
      </rPr>
      <t>3</t>
    </r>
    <r>
      <rPr>
        <sz val="10"/>
        <color indexed="8"/>
        <rFont val="Arial Unicode MS"/>
        <family val="2"/>
      </rPr>
      <t xml:space="preserve"> Includes partnership winding-up orders.</t>
    </r>
  </si>
  <si>
    <r>
      <t>Total new company insolvencies</t>
    </r>
    <r>
      <rPr>
        <b/>
        <vertAlign val="superscript"/>
        <sz val="10"/>
        <color indexed="8"/>
        <rFont val="Arial Unicode MS"/>
        <family val="2"/>
      </rPr>
      <t>2,3</t>
    </r>
  </si>
  <si>
    <r>
      <t>Compulsory liquidations</t>
    </r>
    <r>
      <rPr>
        <vertAlign val="superscript"/>
        <sz val="10"/>
        <color indexed="8"/>
        <rFont val="Arial Unicode MS"/>
        <family val="2"/>
      </rPr>
      <t>3,4,10</t>
    </r>
  </si>
  <si>
    <r>
      <t>New creditors' voluntary liquidations</t>
    </r>
    <r>
      <rPr>
        <vertAlign val="superscript"/>
        <sz val="10"/>
        <color indexed="8"/>
        <rFont val="Arial Unicode MS"/>
        <family val="2"/>
      </rPr>
      <t>2</t>
    </r>
  </si>
  <si>
    <r>
      <t>Compulsory liquidations</t>
    </r>
    <r>
      <rPr>
        <vertAlign val="superscript"/>
        <sz val="10"/>
        <color indexed="8"/>
        <rFont val="Arial Unicode MS"/>
        <family val="2"/>
      </rPr>
      <t>3,4</t>
    </r>
  </si>
  <si>
    <r>
      <rPr>
        <vertAlign val="superscript"/>
        <sz val="10"/>
        <color indexed="8"/>
        <rFont val="Arial Unicode MS"/>
        <family val="2"/>
      </rPr>
      <t>2</t>
    </r>
    <r>
      <rPr>
        <sz val="10"/>
        <color indexed="8"/>
        <rFont val="Arial Unicode MS"/>
        <family val="2"/>
      </rPr>
      <t xml:space="preserve"> Data from 2000Q1 are not consistent with earlier data because of a change to the methodology.</t>
    </r>
  </si>
  <si>
    <r>
      <rPr>
        <vertAlign val="superscript"/>
        <sz val="10"/>
        <color indexed="8"/>
        <rFont val="Arial Unicode MS"/>
        <family val="2"/>
      </rPr>
      <t>1</t>
    </r>
    <r>
      <rPr>
        <sz val="10"/>
        <color indexed="8"/>
        <rFont val="Arial Unicode MS"/>
        <family val="2"/>
      </rPr>
      <t xml:space="preserve"> Data from 2000Q1 are not consistent with earlier data because of a change to the methodology.</t>
    </r>
  </si>
  <si>
    <r>
      <rPr>
        <vertAlign val="superscript"/>
        <sz val="10"/>
        <color indexed="8"/>
        <rFont val="Arial Unicode MS"/>
        <family val="2"/>
      </rPr>
      <t>3</t>
    </r>
    <r>
      <rPr>
        <sz val="10"/>
        <color indexed="8"/>
        <rFont val="Arial Unicode MS"/>
        <family val="2"/>
      </rPr>
      <t xml:space="preserve"> Includes provisional liquidations.</t>
    </r>
  </si>
  <si>
    <r>
      <t>Company insolvencies</t>
    </r>
    <r>
      <rPr>
        <b/>
        <vertAlign val="superscript"/>
        <sz val="14"/>
        <rFont val="Arial Unicode MS"/>
        <family val="2"/>
      </rPr>
      <t>2</t>
    </r>
  </si>
  <si>
    <r>
      <t>Total new company insolvencies</t>
    </r>
    <r>
      <rPr>
        <b/>
        <vertAlign val="superscript"/>
        <sz val="10"/>
        <color indexed="8"/>
        <rFont val="Arial Unicode MS"/>
        <family val="2"/>
      </rPr>
      <t>2</t>
    </r>
  </si>
  <si>
    <r>
      <rPr>
        <vertAlign val="superscript"/>
        <sz val="10"/>
        <rFont val="Arial Unicode MS"/>
        <family val="2"/>
      </rPr>
      <t>9</t>
    </r>
    <r>
      <rPr>
        <sz val="10"/>
        <rFont val="Arial Unicode MS"/>
        <family val="2"/>
      </rPr>
      <t xml:space="preserve"> Data before 2000 Q1 include Law of Property Act and fixed charge receiverships, which are not insolvencies but which cannot be identified separately to insolvent receiverships under the previous methodology.  </t>
    </r>
  </si>
  <si>
    <r>
      <rPr>
        <vertAlign val="superscript"/>
        <sz val="10"/>
        <color indexed="8"/>
        <rFont val="Arial Unicode MS"/>
        <family val="2"/>
      </rPr>
      <t>2</t>
    </r>
    <r>
      <rPr>
        <sz val="10"/>
        <color indexed="8"/>
        <rFont val="Arial Unicode MS"/>
        <family val="2"/>
      </rPr>
      <t xml:space="preserve"> Data before 2000Q1 includes creditors' voluntary liquidations following administration as under the previous methodology it is not possible to separate these CVLs out.</t>
    </r>
  </si>
  <si>
    <r>
      <rPr>
        <vertAlign val="superscript"/>
        <sz val="10"/>
        <color indexed="8"/>
        <rFont val="Arial Unicode MS"/>
        <family val="2"/>
      </rPr>
      <t>3</t>
    </r>
    <r>
      <rPr>
        <sz val="10"/>
        <color indexed="8"/>
        <rFont val="Arial Unicode MS"/>
        <family val="2"/>
      </rPr>
      <t xml:space="preserve"> Data before 2000Q1 includes creditors' voluntary liquidations following administration as under the previous methodology it is not possible to separate these CVLs out.</t>
    </r>
  </si>
  <si>
    <r>
      <t>Debtor's applications</t>
    </r>
    <r>
      <rPr>
        <vertAlign val="superscript"/>
        <sz val="10"/>
        <color indexed="8"/>
        <rFont val="Arial Unicode MS"/>
        <family val="2"/>
      </rPr>
      <t>3</t>
    </r>
  </si>
  <si>
    <r>
      <rPr>
        <vertAlign val="superscript"/>
        <sz val="10"/>
        <color indexed="8"/>
        <rFont val="Arial Unicode MS"/>
        <family val="2"/>
      </rPr>
      <t>3</t>
    </r>
    <r>
      <rPr>
        <sz val="10"/>
        <color indexed="8"/>
        <rFont val="Arial Unicode MS"/>
        <family val="2"/>
      </rPr>
      <t xml:space="preserve"> From 6 April 2016, the process for people making themselves bankrupt moved online and out of the courts.</t>
    </r>
  </si>
  <si>
    <r>
      <rPr>
        <vertAlign val="superscript"/>
        <sz val="10"/>
        <color indexed="8"/>
        <rFont val="Arial Unicode MS"/>
        <family val="2"/>
      </rPr>
      <t>1</t>
    </r>
    <r>
      <rPr>
        <sz val="10"/>
        <color indexed="8"/>
        <rFont val="Arial Unicode MS"/>
        <family val="2"/>
      </rPr>
      <t xml:space="preserve"> Figures from 2011 Q2 onwards based on the date the bankruptcy order was granted by the court or the Adjudicator.</t>
    </r>
  </si>
  <si>
    <r>
      <rPr>
        <vertAlign val="superscript"/>
        <sz val="10"/>
        <color indexed="8"/>
        <rFont val="Arial Unicode MS"/>
        <family val="2"/>
      </rPr>
      <t>1</t>
    </r>
    <r>
      <rPr>
        <sz val="10"/>
        <color indexed="8"/>
        <rFont val="Arial Unicode MS"/>
        <family val="2"/>
      </rPr>
      <t xml:space="preserve"> Figures from 2011 Q2 onwards based on the date the bankruptcy order was granted by the court r the Adjudicator. From 6 April 2016, the process for people making themselves bankrupt moved online and out of the courts.</t>
    </r>
  </si>
  <si>
    <r>
      <rPr>
        <vertAlign val="superscript"/>
        <sz val="10"/>
        <color indexed="8"/>
        <rFont val="Arial Unicode MS"/>
        <family val="2"/>
      </rPr>
      <t>1</t>
    </r>
    <r>
      <rPr>
        <sz val="10"/>
        <color indexed="8"/>
        <rFont val="Arial Unicode MS"/>
        <family val="2"/>
      </rPr>
      <t xml:space="preserve"> Figures from 2011 Q2 onwards based on the date the bankruptcy order was granted by the court or the Adjudicator. From 6 April 2016, the process for people making themselves bankrupt moved online and out of the courts.</t>
    </r>
  </si>
  <si>
    <r>
      <rPr>
        <vertAlign val="superscript"/>
        <sz val="10"/>
        <color indexed="8"/>
        <rFont val="Arial Unicode MS"/>
        <family val="2"/>
      </rPr>
      <t>4</t>
    </r>
    <r>
      <rPr>
        <sz val="10"/>
        <color indexed="8"/>
        <rFont val="Arial Unicode MS"/>
        <family val="2"/>
      </rPr>
      <t xml:space="preserve"> From 6 April 2016, the process for people making themselves bankrupt moved online and out of the courts.</t>
    </r>
  </si>
  <si>
    <r>
      <t>Creditor's petitions</t>
    </r>
    <r>
      <rPr>
        <vertAlign val="superscript"/>
        <sz val="10"/>
        <color indexed="8"/>
        <rFont val="Arial Unicode MS"/>
        <family val="2"/>
      </rPr>
      <t>3</t>
    </r>
  </si>
  <si>
    <r>
      <t>Debtor's applications</t>
    </r>
    <r>
      <rPr>
        <vertAlign val="superscript"/>
        <sz val="10"/>
        <color indexed="8"/>
        <rFont val="Arial Unicode MS"/>
        <family val="2"/>
      </rPr>
      <t>4</t>
    </r>
  </si>
  <si>
    <r>
      <rPr>
        <vertAlign val="superscript"/>
        <sz val="10"/>
        <color indexed="8"/>
        <rFont val="Arial Unicode MS"/>
        <family val="2"/>
      </rPr>
      <t>2</t>
    </r>
    <r>
      <rPr>
        <sz val="10"/>
        <color indexed="8"/>
        <rFont val="Arial Unicode MS"/>
        <family val="2"/>
      </rPr>
      <t xml:space="preserve"> From October 2015, the minimum debt required to initiate a creditor petition bankruptcy increased from £750 to £5,000.</t>
    </r>
  </si>
  <si>
    <r>
      <t>Creditor's petitions</t>
    </r>
    <r>
      <rPr>
        <vertAlign val="superscript"/>
        <sz val="10"/>
        <color indexed="8"/>
        <rFont val="Arial Unicode MS"/>
        <family val="2"/>
      </rPr>
      <t>2</t>
    </r>
  </si>
  <si>
    <r>
      <rPr>
        <vertAlign val="superscript"/>
        <sz val="10"/>
        <color indexed="8"/>
        <rFont val="Arial Unicode MS"/>
        <family val="2"/>
      </rPr>
      <t>3</t>
    </r>
    <r>
      <rPr>
        <sz val="10"/>
        <color indexed="8"/>
        <rFont val="Arial Unicode MS"/>
        <family val="2"/>
      </rPr>
      <t xml:space="preserve"> From October 2015, the minimum debt required to initiate a creditor petition bankruptcy increased from £750 to £5,000.</t>
    </r>
  </si>
  <si>
    <t>Michael Gibbs</t>
  </si>
  <si>
    <t>+44 (0)20 7637 6304</t>
  </si>
  <si>
    <t xml:space="preserve">derived from administrative records at Companies House, while figures for individual insolvencies in </t>
  </si>
  <si>
    <t>Business, Energy and Industrial Strategy (BEIS). For Scotland, the company insolvency statistics are</t>
  </si>
  <si>
    <t xml:space="preserve">statistics are derived from administrative records of the Department of the Economy and from </t>
  </si>
  <si>
    <t>n.a.</t>
  </si>
  <si>
    <t>Insolvency Statistics, January to March 2017 (Q1 2017)</t>
  </si>
  <si>
    <t>Insolvency Statistics, January to March 2017</t>
  </si>
  <si>
    <t/>
  </si>
  <si>
    <t>Percentage change, latest quarter (2017 Q1) compared with:</t>
  </si>
  <si>
    <t>Percentage point change, 12 months ending latest quarter (2017 Q1) compared with:</t>
  </si>
  <si>
    <t>Change in rate per 10,000 adults, 12 months ending latest quarter (2017 Q1) compared with:</t>
  </si>
  <si>
    <t>Percentage change, latest quarter (2016 Q4) compared with:</t>
  </si>
  <si>
    <t>Percentage change, latest quarter (2016 Q3) compared with:</t>
  </si>
  <si>
    <t>(7,133)</t>
  </si>
  <si>
    <t>(8,774)</t>
  </si>
  <si>
    <t>(6,801)</t>
  </si>
  <si>
    <t>(4,812)</t>
  </si>
  <si>
    <t>(3,886)</t>
  </si>
  <si>
    <t>(2,728)</t>
  </si>
  <si>
    <t>(2,533)</t>
  </si>
  <si>
    <t>(1,509)</t>
  </si>
  <si>
    <t>(1,824)</t>
  </si>
  <si>
    <t>(1,709)</t>
  </si>
  <si>
    <t>(2,773)</t>
  </si>
  <si>
    <t>(2,651)</t>
  </si>
  <si>
    <t>(2,284)</t>
  </si>
  <si>
    <t>(2,394)</t>
  </si>
  <si>
    <t>(2,106)</t>
  </si>
  <si>
    <t>(1,990)</t>
  </si>
  <si>
    <t>(1,905)</t>
  </si>
  <si>
    <t>(1,897)</t>
  </si>
  <si>
    <t>(1,631)</t>
  </si>
  <si>
    <t>(1,368)</t>
  </si>
  <si>
    <t>(1,204)</t>
  </si>
  <si>
    <t>(1,305)</t>
  </si>
  <si>
    <t>(1,223)</t>
  </si>
  <si>
    <t>(1,080)</t>
  </si>
  <si>
    <t>(1,060)</t>
  </si>
  <si>
    <t>(1,563)</t>
  </si>
  <si>
    <t>(656)</t>
  </si>
  <si>
    <t>(607)</t>
  </si>
  <si>
    <t>(658)</t>
  </si>
  <si>
    <t>(742)</t>
  </si>
  <si>
    <t>(670)</t>
  </si>
  <si>
    <t>(667)</t>
  </si>
  <si>
    <t>(648)</t>
  </si>
  <si>
    <t>(629)</t>
  </si>
  <si>
    <t>(589)</t>
  </si>
  <si>
    <t>(530)</t>
  </si>
  <si>
    <t>(220)</t>
  </si>
  <si>
    <t>(355)</t>
  </si>
  <si>
    <t>(404)</t>
  </si>
  <si>
    <t>(401)</t>
  </si>
  <si>
    <t>(487)</t>
  </si>
  <si>
    <t>(471)</t>
  </si>
  <si>
    <t>(465)</t>
  </si>
  <si>
    <t>(446)</t>
  </si>
  <si>
    <t>Author</t>
  </si>
  <si>
    <t>Ian Hillis</t>
  </si>
  <si>
    <t>Lead statistician</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</si>
</sst>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_(* #,##0.00_);_(* \(#,##0.00\);_(* &quot;-&quot;??_);_(@_)"/>
    <numFmt numFmtId="165" formatCode="0_)"/>
    <numFmt numFmtId="166" formatCode="General_)"/>
    <numFmt numFmtId="167" formatCode="0.0"/>
    <numFmt numFmtId="168" formatCode="#,##0.0"/>
    <numFmt numFmtId="169" formatCode="0.0%"/>
    <numFmt numFmtId="170" formatCode="&quot;p&quot;\ \ 00"/>
    <numFmt numFmtId="171" formatCode="[$-F800]dddd\,\ mmmm\ dd\,\ yyyy"/>
    <numFmt numFmtId="172" formatCode="#,##0.0000"/>
  </numFmts>
  <fonts count="57" x14ac:knownFonts="1">
    <font>
      <sz val="10"/>
      <name val="Arial"/>
    </font>
    <font>
      <sz val="11"/>
      <color theme="1"/>
      <name val="Calibri"/>
      <family val="2"/>
      <scheme val="minor"/>
    </font>
    <font>
      <sz val="10"/>
      <name val="Arial"/>
      <family val="2"/>
    </font>
    <font>
      <sz val="8"/>
      <name val="Arial"/>
      <family val="2"/>
    </font>
    <font>
      <sz val="10"/>
      <name val="Courier"/>
      <family val="3"/>
    </font>
    <font>
      <b/>
      <sz val="8"/>
      <name val="Arial"/>
      <family val="2"/>
    </font>
    <font>
      <b/>
      <sz val="14"/>
      <name val="Arial"/>
      <family val="2"/>
    </font>
    <font>
      <b/>
      <sz val="14"/>
      <color indexed="10"/>
      <name val="Arial"/>
      <family val="2"/>
    </font>
    <font>
      <b/>
      <sz val="12"/>
      <name val="Arial"/>
      <family val="2"/>
    </font>
    <font>
      <sz val="8"/>
      <color indexed="22"/>
      <name val="Arial"/>
      <family val="2"/>
    </font>
    <font>
      <b/>
      <sz val="6"/>
      <name val="Arial"/>
      <family val="2"/>
    </font>
    <font>
      <sz val="6"/>
      <name val="Arial"/>
      <family val="2"/>
    </font>
    <font>
      <sz val="8"/>
      <color indexed="48"/>
      <name val="Arial"/>
      <family val="2"/>
    </font>
    <font>
      <b/>
      <sz val="8"/>
      <color indexed="48"/>
      <name val="Arial"/>
      <family val="2"/>
    </font>
    <font>
      <b/>
      <sz val="10"/>
      <color indexed="48"/>
      <name val="Arial"/>
      <family val="2"/>
    </font>
    <font>
      <sz val="8"/>
      <color indexed="81"/>
      <name val="Tahoma"/>
      <family val="2"/>
    </font>
    <font>
      <b/>
      <sz val="8"/>
      <color indexed="81"/>
      <name val="Tahoma"/>
      <family val="2"/>
    </font>
    <font>
      <sz val="6"/>
      <color indexed="14"/>
      <name val="Arial"/>
      <family val="2"/>
    </font>
    <font>
      <b/>
      <sz val="8"/>
      <color indexed="10"/>
      <name val="Arial"/>
      <family val="2"/>
    </font>
    <font>
      <sz val="8"/>
      <color indexed="10"/>
      <name val="Arial"/>
      <family val="2"/>
    </font>
    <font>
      <sz val="10"/>
      <name val="Arial"/>
      <family val="2"/>
    </font>
    <font>
      <sz val="12"/>
      <name val="Arial"/>
      <family val="2"/>
    </font>
    <font>
      <sz val="10"/>
      <color indexed="39"/>
      <name val="Arial Unicode MS"/>
      <family val="2"/>
    </font>
    <font>
      <b/>
      <sz val="12"/>
      <name val="Arial Unicode MS"/>
      <family val="2"/>
    </font>
    <font>
      <sz val="10"/>
      <name val="Arial Unicode MS"/>
      <family val="2"/>
    </font>
    <font>
      <b/>
      <sz val="36"/>
      <name val="Arial Unicode MS"/>
      <family val="2"/>
    </font>
    <font>
      <b/>
      <sz val="14"/>
      <name val="Arial Unicode MS"/>
      <family val="2"/>
    </font>
    <font>
      <sz val="12"/>
      <name val="Arial Unicode MS"/>
      <family val="2"/>
    </font>
    <font>
      <sz val="8"/>
      <name val="Arial Unicode MS"/>
      <family val="2"/>
    </font>
    <font>
      <sz val="10"/>
      <color indexed="8"/>
      <name val="Arial Unicode MS"/>
      <family val="2"/>
    </font>
    <font>
      <sz val="9"/>
      <color indexed="8"/>
      <name val="Arial Unicode MS"/>
      <family val="2"/>
    </font>
    <font>
      <b/>
      <sz val="10"/>
      <color indexed="16"/>
      <name val="Arial Unicode MS"/>
      <family val="2"/>
    </font>
    <font>
      <sz val="10"/>
      <color indexed="16"/>
      <name val="Arial Unicode MS"/>
      <family val="2"/>
    </font>
    <font>
      <sz val="8"/>
      <color indexed="16"/>
      <name val="Arial Unicode MS"/>
      <family val="2"/>
    </font>
    <font>
      <b/>
      <sz val="10"/>
      <color indexed="37"/>
      <name val="Arial Unicode MS"/>
      <family val="2"/>
    </font>
    <font>
      <sz val="10"/>
      <color indexed="37"/>
      <name val="Arial Unicode MS"/>
      <family val="2"/>
    </font>
    <font>
      <sz val="10"/>
      <color indexed="12"/>
      <name val="Arial Unicode MS"/>
      <family val="2"/>
    </font>
    <font>
      <b/>
      <sz val="10"/>
      <name val="Arial Unicode MS"/>
      <family val="2"/>
    </font>
    <font>
      <sz val="8"/>
      <color indexed="12"/>
      <name val="Arial Unicode MS"/>
      <family val="2"/>
    </font>
    <font>
      <b/>
      <sz val="10"/>
      <color indexed="8"/>
      <name val="Arial Unicode MS"/>
      <family val="2"/>
    </font>
    <font>
      <i/>
      <sz val="10"/>
      <color indexed="12"/>
      <name val="Arial Unicode MS"/>
      <family val="2"/>
    </font>
    <font>
      <sz val="8"/>
      <color indexed="8"/>
      <name val="Arial Unicode MS"/>
      <family val="2"/>
    </font>
    <font>
      <sz val="36"/>
      <color indexed="12"/>
      <name val="Arial"/>
      <family val="2"/>
    </font>
    <font>
      <u/>
      <sz val="10"/>
      <color indexed="12"/>
      <name val="Arial"/>
      <family val="2"/>
    </font>
    <font>
      <u/>
      <sz val="25"/>
      <color indexed="12"/>
      <name val="Arial"/>
      <family val="2"/>
    </font>
    <font>
      <b/>
      <sz val="10"/>
      <name val="Arial"/>
      <family val="2"/>
    </font>
    <font>
      <sz val="14"/>
      <name val="Arial"/>
      <family val="2"/>
    </font>
    <font>
      <b/>
      <sz val="15"/>
      <name val="Arial"/>
      <family val="2"/>
    </font>
    <font>
      <b/>
      <sz val="11"/>
      <name val="Arial"/>
      <family val="2"/>
    </font>
    <font>
      <b/>
      <vertAlign val="superscript"/>
      <sz val="14"/>
      <name val="Arial Unicode MS"/>
      <family val="2"/>
    </font>
    <font>
      <vertAlign val="superscript"/>
      <sz val="10"/>
      <color indexed="8"/>
      <name val="Arial Unicode MS"/>
      <family val="2"/>
    </font>
    <font>
      <b/>
      <vertAlign val="superscript"/>
      <sz val="10"/>
      <color indexed="8"/>
      <name val="Arial Unicode MS"/>
      <family val="2"/>
    </font>
    <font>
      <vertAlign val="superscript"/>
      <sz val="12"/>
      <name val="Arial Unicode MS"/>
      <family val="2"/>
    </font>
    <font>
      <vertAlign val="superscript"/>
      <sz val="10"/>
      <name val="Arial Unicode MS"/>
      <family val="2"/>
    </font>
    <font>
      <b/>
      <vertAlign val="superscript"/>
      <sz val="12"/>
      <name val="Arial"/>
      <family val="2"/>
    </font>
    <font>
      <sz val="11"/>
      <name val="Arial"/>
      <family val="2"/>
    </font>
    <font>
      <i/>
      <sz val="10"/>
      <name val="Arial"/>
      <family val="2"/>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indexed="22"/>
        <bgColor indexed="64"/>
      </patternFill>
    </fill>
    <fill>
      <patternFill patternType="solid">
        <fgColor theme="0"/>
        <bgColor indexed="64"/>
      </patternFill>
    </fill>
  </fills>
  <borders count="27">
    <border>
      <left/>
      <right/>
      <top/>
      <bottom/>
      <diagonal/>
    </border>
    <border>
      <left style="dotted">
        <color indexed="64"/>
      </left>
      <right style="dotted">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top/>
      <bottom style="double">
        <color indexed="64"/>
      </bottom>
      <diagonal/>
    </border>
    <border>
      <left/>
      <right style="dotted">
        <color indexed="64"/>
      </right>
      <top/>
      <bottom/>
      <diagonal/>
    </border>
    <border>
      <left style="dotted">
        <color indexed="64"/>
      </left>
      <right/>
      <top/>
      <bottom/>
      <diagonal/>
    </border>
    <border>
      <left/>
      <right/>
      <top/>
      <bottom style="thin">
        <color indexed="64"/>
      </bottom>
      <diagonal/>
    </border>
    <border>
      <left style="medium">
        <color indexed="64"/>
      </left>
      <right/>
      <top/>
      <bottom/>
      <diagonal/>
    </border>
    <border>
      <left/>
      <right/>
      <top style="thin">
        <color indexed="64"/>
      </top>
      <bottom/>
      <diagonal/>
    </border>
    <border>
      <left/>
      <right/>
      <top/>
      <bottom style="medium">
        <color indexed="22"/>
      </bottom>
      <diagonal/>
    </border>
    <border>
      <left/>
      <right/>
      <top style="medium">
        <color indexed="22"/>
      </top>
      <bottom style="medium">
        <color indexed="22"/>
      </bottom>
      <diagonal/>
    </border>
    <border>
      <left/>
      <right/>
      <top style="medium">
        <color indexed="22"/>
      </top>
      <bottom style="thin">
        <color indexed="22"/>
      </bottom>
      <diagonal/>
    </border>
    <border>
      <left/>
      <right/>
      <top style="medium">
        <color indexed="22"/>
      </top>
      <bottom/>
      <diagonal/>
    </border>
    <border>
      <left/>
      <right/>
      <top style="thin">
        <color indexed="22"/>
      </top>
      <bottom style="medium">
        <color indexed="2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0">
    <xf numFmtId="0" fontId="0" fillId="0" borderId="0"/>
    <xf numFmtId="164" fontId="2" fillId="0" borderId="0" applyFont="0" applyFill="0" applyBorder="0" applyAlignment="0" applyProtection="0"/>
    <xf numFmtId="165" fontId="4" fillId="0" borderId="0"/>
    <xf numFmtId="0" fontId="2" fillId="0" borderId="0"/>
    <xf numFmtId="9" fontId="20" fillId="0" borderId="0" applyFont="0" applyFill="0" applyBorder="0" applyAlignment="0" applyProtection="0"/>
    <xf numFmtId="166" fontId="4" fillId="0" borderId="0"/>
    <xf numFmtId="9" fontId="2" fillId="0" borderId="0" applyFont="0" applyFill="0" applyBorder="0" applyAlignment="0" applyProtection="0"/>
    <xf numFmtId="164" fontId="2" fillId="0" borderId="0" applyFont="0" applyFill="0" applyBorder="0" applyAlignment="0" applyProtection="0"/>
    <xf numFmtId="0" fontId="1" fillId="0" borderId="0"/>
    <xf numFmtId="0" fontId="43" fillId="0" borderId="0" applyNumberFormat="0" applyFill="0" applyBorder="0" applyAlignment="0" applyProtection="0">
      <alignment vertical="top"/>
      <protection locked="0"/>
    </xf>
  </cellStyleXfs>
  <cellXfs count="364">
    <xf numFmtId="0" fontId="0" fillId="0" borderId="0" xfId="0"/>
    <xf numFmtId="1" fontId="11" fillId="0" borderId="0" xfId="0" applyNumberFormat="1" applyFont="1" applyFill="1"/>
    <xf numFmtId="1" fontId="10" fillId="0" borderId="0" xfId="0" applyNumberFormat="1" applyFont="1" applyFill="1"/>
    <xf numFmtId="1" fontId="11" fillId="0" borderId="0" xfId="0" applyNumberFormat="1" applyFont="1"/>
    <xf numFmtId="1" fontId="11" fillId="0" borderId="0" xfId="0" applyNumberFormat="1" applyFont="1" applyFill="1" applyAlignment="1">
      <alignment horizontal="left" wrapText="1"/>
    </xf>
    <xf numFmtId="1" fontId="11" fillId="0" borderId="0" xfId="0" applyNumberFormat="1" applyFont="1" applyFill="1" applyAlignment="1">
      <alignment wrapText="1"/>
    </xf>
    <xf numFmtId="1" fontId="11" fillId="0" borderId="0" xfId="0" applyNumberFormat="1" applyFont="1" applyAlignment="1">
      <alignment wrapText="1"/>
    </xf>
    <xf numFmtId="167" fontId="11" fillId="0" borderId="0" xfId="0" applyNumberFormat="1" applyFont="1" applyFill="1"/>
    <xf numFmtId="2" fontId="11" fillId="0" borderId="0" xfId="0" applyNumberFormat="1" applyFont="1" applyFill="1"/>
    <xf numFmtId="1" fontId="11" fillId="0" borderId="0" xfId="0" applyNumberFormat="1" applyFont="1" applyFill="1" applyAlignment="1">
      <alignment horizontal="center"/>
    </xf>
    <xf numFmtId="0" fontId="3" fillId="2" borderId="0" xfId="0" applyFont="1" applyFill="1"/>
    <xf numFmtId="0" fontId="3" fillId="2" borderId="0" xfId="0" applyFont="1" applyFill="1" applyAlignment="1">
      <alignment horizontal="center"/>
    </xf>
    <xf numFmtId="0" fontId="5" fillId="2" borderId="0" xfId="0" applyFont="1" applyFill="1"/>
    <xf numFmtId="0" fontId="3" fillId="2" borderId="0" xfId="0" applyFont="1" applyFill="1" applyAlignment="1">
      <alignment horizontal="left" wrapText="1"/>
    </xf>
    <xf numFmtId="0" fontId="9" fillId="2" borderId="0" xfId="0" applyFont="1" applyFill="1"/>
    <xf numFmtId="0" fontId="3" fillId="2" borderId="0" xfId="0" applyFont="1" applyFill="1" applyBorder="1"/>
    <xf numFmtId="0" fontId="5" fillId="2" borderId="0" xfId="0" applyFont="1" applyFill="1" applyBorder="1"/>
    <xf numFmtId="0" fontId="3" fillId="2" borderId="1" xfId="0" applyFont="1" applyFill="1" applyBorder="1"/>
    <xf numFmtId="0" fontId="3" fillId="2" borderId="1" xfId="0" applyFont="1" applyFill="1" applyBorder="1" applyAlignment="1"/>
    <xf numFmtId="0" fontId="3" fillId="2" borderId="0" xfId="0" applyFont="1" applyFill="1" applyAlignment="1">
      <alignment horizontal="right" wrapText="1"/>
    </xf>
    <xf numFmtId="3" fontId="3" fillId="2" borderId="0" xfId="1" applyNumberFormat="1" applyFont="1" applyFill="1" applyAlignment="1" applyProtection="1">
      <alignment horizontal="right"/>
      <protection locked="0"/>
    </xf>
    <xf numFmtId="0" fontId="3" fillId="2" borderId="1" xfId="0" applyFont="1" applyFill="1" applyBorder="1" applyAlignment="1">
      <alignment horizontal="right" wrapText="1"/>
    </xf>
    <xf numFmtId="3" fontId="3" fillId="2" borderId="0" xfId="1" applyNumberFormat="1" applyFont="1" applyFill="1" applyBorder="1" applyAlignment="1" applyProtection="1">
      <alignment horizontal="right"/>
      <protection locked="0"/>
    </xf>
    <xf numFmtId="3" fontId="5" fillId="2" borderId="0" xfId="1" applyNumberFormat="1" applyFont="1" applyFill="1" applyAlignment="1" applyProtection="1">
      <alignment horizontal="right"/>
      <protection locked="0"/>
    </xf>
    <xf numFmtId="3" fontId="3" fillId="2" borderId="1" xfId="0" applyNumberFormat="1" applyFont="1" applyFill="1" applyBorder="1" applyAlignment="1">
      <alignment horizontal="right"/>
    </xf>
    <xf numFmtId="0" fontId="12" fillId="2" borderId="0" xfId="0" applyFont="1" applyFill="1" applyAlignment="1" applyProtection="1">
      <alignment horizontal="right" wrapText="1"/>
      <protection locked="0"/>
    </xf>
    <xf numFmtId="3" fontId="12" fillId="2" borderId="0" xfId="0" applyNumberFormat="1" applyFont="1" applyFill="1" applyAlignment="1">
      <alignment horizontal="right"/>
    </xf>
    <xf numFmtId="3" fontId="13" fillId="2" borderId="0" xfId="0" applyNumberFormat="1" applyFont="1" applyFill="1" applyAlignment="1">
      <alignment horizontal="right"/>
    </xf>
    <xf numFmtId="0" fontId="12" fillId="2" borderId="0" xfId="0" applyFont="1" applyFill="1" applyAlignment="1">
      <alignment horizontal="right" wrapText="1"/>
    </xf>
    <xf numFmtId="0" fontId="13" fillId="2" borderId="0" xfId="0" applyFont="1" applyFill="1" applyAlignment="1">
      <alignment horizontal="right" wrapText="1"/>
    </xf>
    <xf numFmtId="3" fontId="13" fillId="2" borderId="0" xfId="0" applyNumberFormat="1" applyFont="1" applyFill="1"/>
    <xf numFmtId="0" fontId="12" fillId="2" borderId="0" xfId="0" applyFont="1" applyFill="1"/>
    <xf numFmtId="0" fontId="12" fillId="2" borderId="0" xfId="0" applyFont="1" applyFill="1" applyAlignment="1" applyProtection="1">
      <alignment horizontal="center" wrapText="1"/>
      <protection locked="0"/>
    </xf>
    <xf numFmtId="3" fontId="12" fillId="2" borderId="0" xfId="1" applyNumberFormat="1" applyFont="1" applyFill="1" applyAlignment="1" applyProtection="1">
      <alignment horizontal="center"/>
      <protection locked="0"/>
    </xf>
    <xf numFmtId="3" fontId="12" fillId="2" borderId="0" xfId="0" applyNumberFormat="1" applyFont="1" applyFill="1" applyAlignment="1">
      <alignment horizontal="center"/>
    </xf>
    <xf numFmtId="3" fontId="12" fillId="2" borderId="0" xfId="1" applyNumberFormat="1" applyFont="1" applyFill="1" applyAlignment="1">
      <alignment horizontal="center"/>
    </xf>
    <xf numFmtId="0" fontId="12" fillId="2" borderId="0" xfId="0" applyFont="1" applyFill="1" applyBorder="1" applyAlignment="1" applyProtection="1">
      <alignment horizontal="right" wrapText="1"/>
      <protection locked="0"/>
    </xf>
    <xf numFmtId="3" fontId="12" fillId="2" borderId="0" xfId="1" applyNumberFormat="1" applyFont="1" applyFill="1" applyBorder="1" applyAlignment="1" applyProtection="1">
      <alignment horizontal="right"/>
      <protection locked="0"/>
    </xf>
    <xf numFmtId="3" fontId="12" fillId="2" borderId="0" xfId="0" applyNumberFormat="1" applyFont="1" applyFill="1" applyBorder="1" applyAlignment="1">
      <alignment horizontal="right"/>
    </xf>
    <xf numFmtId="3" fontId="12" fillId="2" borderId="0" xfId="1" applyNumberFormat="1" applyFont="1" applyFill="1" applyBorder="1" applyAlignment="1">
      <alignment horizontal="right"/>
    </xf>
    <xf numFmtId="0" fontId="12" fillId="2" borderId="0" xfId="0" applyFont="1" applyFill="1" applyBorder="1"/>
    <xf numFmtId="3" fontId="3" fillId="2" borderId="0" xfId="1" applyNumberFormat="1" applyFont="1" applyFill="1" applyAlignment="1">
      <alignment horizontal="right" indent="1"/>
    </xf>
    <xf numFmtId="3" fontId="3" fillId="2" borderId="0" xfId="0" applyNumberFormat="1" applyFont="1" applyFill="1" applyAlignment="1">
      <alignment horizontal="right" indent="1"/>
    </xf>
    <xf numFmtId="0" fontId="3" fillId="2" borderId="0" xfId="0" applyFont="1" applyFill="1" applyAlignment="1" applyProtection="1">
      <alignment horizontal="right" wrapText="1" indent="2"/>
      <protection locked="0"/>
    </xf>
    <xf numFmtId="3" fontId="3" fillId="2" borderId="0" xfId="1" applyNumberFormat="1" applyFont="1" applyFill="1" applyAlignment="1">
      <alignment horizontal="right" indent="2"/>
    </xf>
    <xf numFmtId="3" fontId="3" fillId="2" borderId="0" xfId="0" applyNumberFormat="1" applyFont="1" applyFill="1" applyAlignment="1">
      <alignment horizontal="right" indent="2"/>
    </xf>
    <xf numFmtId="0" fontId="3" fillId="2" borderId="0" xfId="0" applyFont="1" applyFill="1" applyAlignment="1">
      <alignment horizontal="right" indent="2"/>
    </xf>
    <xf numFmtId="0" fontId="3" fillId="2" borderId="0" xfId="0" applyFont="1" applyFill="1" applyAlignment="1">
      <alignment horizontal="right" indent="1"/>
    </xf>
    <xf numFmtId="3" fontId="3" fillId="2" borderId="0" xfId="1" applyNumberFormat="1" applyFont="1" applyFill="1" applyAlignment="1" applyProtection="1">
      <alignment horizontal="right" indent="1"/>
      <protection locked="0"/>
    </xf>
    <xf numFmtId="3" fontId="5" fillId="2" borderId="0" xfId="1" applyNumberFormat="1" applyFont="1" applyFill="1" applyAlignment="1" applyProtection="1">
      <alignment horizontal="right" indent="1"/>
      <protection locked="0"/>
    </xf>
    <xf numFmtId="3" fontId="3" fillId="2" borderId="0" xfId="1" applyNumberFormat="1" applyFont="1" applyFill="1" applyAlignment="1" applyProtection="1">
      <alignment horizontal="right" indent="2"/>
      <protection locked="0"/>
    </xf>
    <xf numFmtId="3" fontId="3" fillId="2" borderId="0" xfId="1" applyNumberFormat="1" applyFont="1" applyFill="1" applyBorder="1" applyAlignment="1" applyProtection="1">
      <alignment horizontal="right" indent="2"/>
      <protection locked="0"/>
    </xf>
    <xf numFmtId="3" fontId="3" fillId="2" borderId="0" xfId="2" applyNumberFormat="1" applyFont="1" applyFill="1" applyAlignment="1">
      <alignment horizontal="right" indent="2"/>
    </xf>
    <xf numFmtId="3" fontId="3" fillId="2" borderId="0" xfId="2" applyNumberFormat="1" applyFont="1" applyFill="1" applyAlignment="1" applyProtection="1">
      <alignment horizontal="right" indent="2"/>
      <protection locked="0"/>
    </xf>
    <xf numFmtId="0" fontId="5" fillId="2" borderId="0" xfId="0" applyFont="1" applyFill="1" applyAlignment="1">
      <alignment horizontal="right" indent="2"/>
    </xf>
    <xf numFmtId="0" fontId="3" fillId="2" borderId="0" xfId="0" applyFont="1" applyFill="1" applyAlignment="1">
      <alignment horizontal="center" wrapText="1"/>
    </xf>
    <xf numFmtId="0" fontId="3" fillId="2" borderId="0" xfId="0" applyFont="1" applyFill="1" applyAlignment="1" applyProtection="1">
      <alignment horizontal="center" wrapText="1"/>
      <protection locked="0"/>
    </xf>
    <xf numFmtId="0" fontId="5" fillId="2" borderId="0" xfId="0" applyFont="1" applyFill="1" applyAlignment="1" applyProtection="1">
      <alignment horizontal="center" wrapText="1"/>
      <protection locked="0"/>
    </xf>
    <xf numFmtId="0" fontId="3" fillId="2" borderId="0" xfId="0" applyFont="1" applyFill="1" applyBorder="1" applyAlignment="1">
      <alignment horizontal="center" wrapText="1"/>
    </xf>
    <xf numFmtId="0" fontId="12" fillId="2" borderId="0" xfId="0" applyFont="1" applyFill="1" applyAlignment="1">
      <alignment horizontal="center" wrapText="1"/>
    </xf>
    <xf numFmtId="0" fontId="13" fillId="2" borderId="0" xfId="0" applyFont="1" applyFill="1" applyAlignment="1">
      <alignment horizontal="center" wrapText="1"/>
    </xf>
    <xf numFmtId="0" fontId="3" fillId="2" borderId="1" xfId="0" applyFont="1" applyFill="1" applyBorder="1" applyAlignment="1">
      <alignment horizontal="center" wrapText="1"/>
    </xf>
    <xf numFmtId="168" fontId="3" fillId="2" borderId="0" xfId="1" applyNumberFormat="1" applyFont="1" applyFill="1" applyAlignment="1" applyProtection="1">
      <alignment horizontal="right"/>
      <protection locked="0"/>
    </xf>
    <xf numFmtId="0" fontId="3" fillId="2" borderId="0" xfId="0" applyFont="1" applyFill="1" applyAlignment="1" applyProtection="1">
      <alignment horizontal="center"/>
      <protection locked="0"/>
    </xf>
    <xf numFmtId="168" fontId="3" fillId="2" borderId="1" xfId="1" applyNumberFormat="1" applyFont="1" applyFill="1" applyBorder="1" applyAlignment="1" applyProtection="1">
      <alignment horizontal="right"/>
      <protection locked="0"/>
    </xf>
    <xf numFmtId="1" fontId="11" fillId="0" borderId="0" xfId="0" applyNumberFormat="1" applyFont="1" applyAlignment="1">
      <alignment horizontal="center"/>
    </xf>
    <xf numFmtId="1" fontId="11" fillId="0" borderId="0" xfId="0" applyNumberFormat="1" applyFont="1" applyFill="1" applyAlignment="1">
      <alignment horizontal="right" wrapText="1"/>
    </xf>
    <xf numFmtId="1" fontId="11" fillId="0" borderId="0" xfId="0" applyNumberFormat="1" applyFont="1" applyFill="1" applyAlignment="1">
      <alignment horizontal="right"/>
    </xf>
    <xf numFmtId="167" fontId="11" fillId="0" borderId="0" xfId="0" applyNumberFormat="1" applyFont="1"/>
    <xf numFmtId="3" fontId="13" fillId="2" borderId="0" xfId="0" applyNumberFormat="1" applyFont="1" applyFill="1" applyBorder="1" applyAlignment="1">
      <alignment horizontal="right"/>
    </xf>
    <xf numFmtId="0" fontId="3" fillId="2" borderId="0" xfId="0" applyFont="1" applyFill="1" applyAlignment="1">
      <alignment horizontal="right" wrapText="1" indent="2"/>
    </xf>
    <xf numFmtId="0" fontId="3" fillId="2" borderId="0" xfId="0" applyFont="1" applyFill="1" applyAlignment="1">
      <alignment horizontal="right" wrapText="1" indent="3"/>
    </xf>
    <xf numFmtId="3" fontId="3" fillId="2" borderId="0" xfId="1" applyNumberFormat="1" applyFont="1" applyFill="1" applyAlignment="1" applyProtection="1">
      <alignment horizontal="right" indent="3"/>
      <protection locked="0"/>
    </xf>
    <xf numFmtId="3" fontId="5" fillId="2" borderId="0" xfId="1" applyNumberFormat="1" applyFont="1" applyFill="1" applyAlignment="1" applyProtection="1">
      <alignment horizontal="right" indent="3"/>
      <protection locked="0"/>
    </xf>
    <xf numFmtId="0" fontId="6" fillId="2" borderId="2" xfId="0" applyFont="1" applyFill="1" applyBorder="1"/>
    <xf numFmtId="0" fontId="7" fillId="2" borderId="3" xfId="0" applyFont="1" applyFill="1" applyBorder="1" applyAlignment="1">
      <alignment horizontal="center" vertical="center"/>
    </xf>
    <xf numFmtId="0" fontId="6" fillId="2" borderId="4" xfId="0" applyFont="1" applyFill="1" applyBorder="1"/>
    <xf numFmtId="0" fontId="7" fillId="2" borderId="5" xfId="0" applyFont="1" applyFill="1" applyBorder="1" applyAlignment="1">
      <alignment horizontal="center" vertical="center"/>
    </xf>
    <xf numFmtId="3" fontId="3" fillId="3" borderId="0" xfId="1" applyNumberFormat="1" applyFont="1" applyFill="1" applyAlignment="1" applyProtection="1">
      <alignment horizontal="right" indent="1"/>
      <protection locked="0"/>
    </xf>
    <xf numFmtId="3" fontId="3" fillId="0" borderId="0" xfId="2" applyNumberFormat="1" applyFont="1" applyFill="1" applyAlignment="1">
      <alignment horizontal="right" indent="2"/>
    </xf>
    <xf numFmtId="3" fontId="12" fillId="0" borderId="0" xfId="0" applyNumberFormat="1" applyFont="1" applyFill="1" applyBorder="1" applyAlignment="1">
      <alignment horizontal="right"/>
    </xf>
    <xf numFmtId="3" fontId="12" fillId="0" borderId="0" xfId="0" applyNumberFormat="1" applyFont="1" applyFill="1" applyAlignment="1">
      <alignment horizontal="center"/>
    </xf>
    <xf numFmtId="3" fontId="12" fillId="0" borderId="0" xfId="0" applyNumberFormat="1" applyFont="1" applyFill="1" applyAlignment="1">
      <alignment horizontal="right"/>
    </xf>
    <xf numFmtId="3" fontId="3" fillId="3" borderId="0" xfId="1" applyNumberFormat="1" applyFont="1" applyFill="1" applyAlignment="1" applyProtection="1">
      <alignment horizontal="left" indent="1"/>
      <protection locked="0"/>
    </xf>
    <xf numFmtId="3" fontId="12" fillId="2" borderId="6" xfId="0" applyNumberFormat="1" applyFont="1" applyFill="1" applyBorder="1" applyAlignment="1">
      <alignment horizontal="right"/>
    </xf>
    <xf numFmtId="0" fontId="5" fillId="4" borderId="0" xfId="0" applyFont="1" applyFill="1" applyAlignment="1">
      <alignment horizontal="right" indent="2"/>
    </xf>
    <xf numFmtId="0" fontId="5" fillId="4" borderId="0" xfId="0" applyFont="1" applyFill="1" applyAlignment="1" applyProtection="1">
      <alignment horizontal="center" wrapText="1"/>
      <protection locked="0"/>
    </xf>
    <xf numFmtId="3" fontId="5" fillId="4" borderId="0" xfId="1" applyNumberFormat="1" applyFont="1" applyFill="1" applyAlignment="1">
      <alignment horizontal="right" indent="2"/>
    </xf>
    <xf numFmtId="0" fontId="9" fillId="4" borderId="0" xfId="0" applyFont="1" applyFill="1"/>
    <xf numFmtId="0" fontId="3" fillId="4" borderId="0" xfId="0" applyFont="1" applyFill="1"/>
    <xf numFmtId="0" fontId="5" fillId="4" borderId="0" xfId="0" applyFont="1" applyFill="1"/>
    <xf numFmtId="0" fontId="3" fillId="4" borderId="0" xfId="0" applyFont="1" applyFill="1" applyAlignment="1" applyProtection="1">
      <alignment horizontal="center" wrapText="1"/>
      <protection locked="0"/>
    </xf>
    <xf numFmtId="3" fontId="3" fillId="4" borderId="0" xfId="0" applyNumberFormat="1" applyFont="1" applyFill="1" applyAlignment="1">
      <alignment horizontal="right" indent="1"/>
    </xf>
    <xf numFmtId="3" fontId="3" fillId="4" borderId="0" xfId="1" applyNumberFormat="1" applyFont="1" applyFill="1" applyAlignment="1">
      <alignment horizontal="right" indent="1"/>
    </xf>
    <xf numFmtId="3" fontId="5" fillId="4" borderId="0" xfId="1" applyNumberFormat="1" applyFont="1" applyFill="1" applyAlignment="1">
      <alignment horizontal="right" indent="1"/>
    </xf>
    <xf numFmtId="168" fontId="3" fillId="4" borderId="0" xfId="1" applyNumberFormat="1" applyFont="1" applyFill="1" applyAlignment="1">
      <alignment horizontal="right" indent="1"/>
    </xf>
    <xf numFmtId="3" fontId="3" fillId="4" borderId="0" xfId="0" applyNumberFormat="1" applyFont="1" applyFill="1" applyAlignment="1">
      <alignment horizontal="right" indent="2"/>
    </xf>
    <xf numFmtId="0" fontId="3" fillId="4" borderId="0" xfId="0" applyFont="1" applyFill="1" applyAlignment="1">
      <alignment horizontal="center" wrapText="1"/>
    </xf>
    <xf numFmtId="3" fontId="3" fillId="4" borderId="0" xfId="2" applyNumberFormat="1" applyFont="1" applyFill="1" applyAlignment="1">
      <alignment horizontal="right" indent="2"/>
    </xf>
    <xf numFmtId="3" fontId="3" fillId="4" borderId="0" xfId="2" applyNumberFormat="1" applyFont="1" applyFill="1" applyAlignment="1" applyProtection="1">
      <alignment horizontal="right" indent="2"/>
      <protection locked="0"/>
    </xf>
    <xf numFmtId="0" fontId="3" fillId="4" borderId="0" xfId="0" applyFont="1" applyFill="1" applyAlignment="1">
      <alignment horizontal="right" indent="1"/>
    </xf>
    <xf numFmtId="3" fontId="5" fillId="4" borderId="0" xfId="1" applyNumberFormat="1" applyFont="1" applyFill="1" applyAlignment="1" applyProtection="1">
      <alignment horizontal="right" indent="1"/>
      <protection locked="0"/>
    </xf>
    <xf numFmtId="3" fontId="3" fillId="4" borderId="0" xfId="1" applyNumberFormat="1" applyFont="1" applyFill="1" applyAlignment="1" applyProtection="1">
      <alignment horizontal="right" indent="2"/>
      <protection locked="0"/>
    </xf>
    <xf numFmtId="0" fontId="12" fillId="4" borderId="0" xfId="0" applyFont="1" applyFill="1" applyBorder="1"/>
    <xf numFmtId="0" fontId="5" fillId="4" borderId="0" xfId="0" applyFont="1" applyFill="1" applyAlignment="1">
      <alignment horizontal="center" wrapText="1"/>
    </xf>
    <xf numFmtId="3" fontId="5" fillId="4" borderId="0" xfId="2" applyNumberFormat="1" applyFont="1" applyFill="1" applyAlignment="1">
      <alignment horizontal="right" indent="2"/>
    </xf>
    <xf numFmtId="3" fontId="5" fillId="4" borderId="0" xfId="1" applyNumberFormat="1" applyFont="1" applyFill="1" applyAlignment="1" applyProtection="1">
      <alignment horizontal="right"/>
      <protection locked="0"/>
    </xf>
    <xf numFmtId="0" fontId="13" fillId="4" borderId="0" xfId="0" applyFont="1" applyFill="1" applyAlignment="1" applyProtection="1">
      <alignment horizontal="center" wrapText="1"/>
      <protection locked="0"/>
    </xf>
    <xf numFmtId="0" fontId="13" fillId="4" borderId="0" xfId="0" applyFont="1" applyFill="1" applyAlignment="1" applyProtection="1">
      <alignment horizontal="right" wrapText="1"/>
      <protection locked="0"/>
    </xf>
    <xf numFmtId="3" fontId="13" fillId="4" borderId="0" xfId="0" applyNumberFormat="1" applyFont="1" applyFill="1" applyAlignment="1">
      <alignment horizontal="right"/>
    </xf>
    <xf numFmtId="0" fontId="13" fillId="4" borderId="0" xfId="0" applyFont="1" applyFill="1"/>
    <xf numFmtId="0" fontId="3" fillId="4" borderId="0" xfId="0" applyFont="1" applyFill="1" applyAlignment="1">
      <alignment horizontal="right" wrapText="1"/>
    </xf>
    <xf numFmtId="3" fontId="3" fillId="4" borderId="0" xfId="1" applyNumberFormat="1" applyFont="1" applyFill="1" applyAlignment="1" applyProtection="1">
      <alignment horizontal="right"/>
      <protection locked="0"/>
    </xf>
    <xf numFmtId="0" fontId="3" fillId="4" borderId="0" xfId="0" applyFont="1" applyFill="1" applyBorder="1"/>
    <xf numFmtId="3" fontId="5" fillId="4" borderId="0" xfId="1" applyNumberFormat="1" applyFont="1" applyFill="1" applyAlignment="1" applyProtection="1">
      <alignment horizontal="right" indent="3"/>
      <protection locked="0"/>
    </xf>
    <xf numFmtId="0" fontId="9" fillId="4" borderId="0" xfId="0" applyFont="1" applyFill="1" applyAlignment="1">
      <alignment horizontal="center" vertical="center"/>
    </xf>
    <xf numFmtId="0" fontId="3" fillId="4" borderId="0" xfId="0" applyFont="1" applyFill="1" applyAlignment="1">
      <alignment horizontal="right" wrapText="1" indent="3"/>
    </xf>
    <xf numFmtId="3" fontId="5" fillId="4" borderId="0" xfId="1" applyNumberFormat="1" applyFont="1" applyFill="1" applyBorder="1" applyAlignment="1" applyProtection="1">
      <alignment horizontal="right"/>
      <protection locked="0"/>
    </xf>
    <xf numFmtId="168" fontId="3" fillId="4" borderId="0" xfId="1" applyNumberFormat="1" applyFont="1" applyFill="1" applyAlignment="1" applyProtection="1">
      <alignment horizontal="right"/>
      <protection locked="0"/>
    </xf>
    <xf numFmtId="1" fontId="11" fillId="3" borderId="0" xfId="0" applyNumberFormat="1" applyFont="1" applyFill="1"/>
    <xf numFmtId="1" fontId="10" fillId="3" borderId="0" xfId="0" applyNumberFormat="1" applyFont="1" applyFill="1"/>
    <xf numFmtId="1" fontId="11" fillId="3" borderId="0" xfId="0" applyNumberFormat="1" applyFont="1" applyFill="1" applyAlignment="1">
      <alignment wrapText="1"/>
    </xf>
    <xf numFmtId="167" fontId="11" fillId="3" borderId="0" xfId="0" applyNumberFormat="1" applyFont="1" applyFill="1"/>
    <xf numFmtId="1" fontId="11" fillId="3" borderId="0" xfId="0" applyNumberFormat="1" applyFont="1" applyFill="1" applyAlignment="1"/>
    <xf numFmtId="1" fontId="17" fillId="0" borderId="0" xfId="0" applyNumberFormat="1" applyFont="1" applyFill="1"/>
    <xf numFmtId="1" fontId="17" fillId="0" borderId="0" xfId="0" applyNumberFormat="1" applyFont="1" applyFill="1" applyAlignment="1">
      <alignment wrapText="1"/>
    </xf>
    <xf numFmtId="0" fontId="3" fillId="2" borderId="0" xfId="0" applyFont="1" applyFill="1" applyAlignment="1"/>
    <xf numFmtId="0" fontId="14" fillId="2" borderId="0" xfId="0" applyFont="1" applyFill="1" applyAlignment="1"/>
    <xf numFmtId="0" fontId="14" fillId="2" borderId="7" xfId="0" applyFont="1" applyFill="1" applyBorder="1" applyAlignment="1"/>
    <xf numFmtId="0" fontId="18" fillId="3" borderId="0" xfId="0" applyFont="1" applyFill="1" applyAlignment="1"/>
    <xf numFmtId="0" fontId="19" fillId="3" borderId="0" xfId="0" applyFont="1" applyFill="1" applyAlignment="1"/>
    <xf numFmtId="165" fontId="22" fillId="0" borderId="0" xfId="2" applyFont="1" applyAlignment="1">
      <alignment horizontal="right"/>
    </xf>
    <xf numFmtId="166" fontId="23" fillId="0" borderId="0" xfId="5" applyFont="1" applyBorder="1" applyAlignment="1">
      <alignment vertical="center"/>
    </xf>
    <xf numFmtId="166" fontId="23" fillId="0" borderId="0" xfId="5" applyFont="1" applyBorder="1" applyAlignment="1">
      <alignment horizontal="left" vertical="center"/>
    </xf>
    <xf numFmtId="166" fontId="24" fillId="0" borderId="0" xfId="5" applyFont="1" applyAlignment="1"/>
    <xf numFmtId="166" fontId="26" fillId="0" borderId="0" xfId="5" applyFont="1" applyBorder="1" applyAlignment="1">
      <alignment vertical="center"/>
    </xf>
    <xf numFmtId="166" fontId="27" fillId="0" borderId="0" xfId="5" applyFont="1" applyAlignment="1">
      <alignment horizontal="left"/>
    </xf>
    <xf numFmtId="0" fontId="24" fillId="0" borderId="12" xfId="0" applyFont="1" applyBorder="1" applyAlignment="1"/>
    <xf numFmtId="165" fontId="29" fillId="0" borderId="0" xfId="2" applyFont="1" applyAlignment="1">
      <alignment horizontal="right"/>
    </xf>
    <xf numFmtId="165" fontId="29" fillId="0" borderId="0" xfId="2" applyFont="1" applyBorder="1" applyAlignment="1">
      <alignment horizontal="right" wrapText="1"/>
    </xf>
    <xf numFmtId="165" fontId="29" fillId="0" borderId="0" xfId="2" applyFont="1" applyBorder="1" applyAlignment="1">
      <alignment horizontal="center" wrapText="1"/>
    </xf>
    <xf numFmtId="166" fontId="24" fillId="0" borderId="0" xfId="5" applyFont="1" applyAlignment="1">
      <alignment horizontal="center" wrapText="1"/>
    </xf>
    <xf numFmtId="166" fontId="24" fillId="0" borderId="0" xfId="5" applyFont="1" applyAlignment="1">
      <alignment vertical="center"/>
    </xf>
    <xf numFmtId="1" fontId="31" fillId="0" borderId="0" xfId="2" applyNumberFormat="1" applyFont="1" applyAlignment="1">
      <alignment horizontal="right" vertical="center"/>
    </xf>
    <xf numFmtId="3" fontId="32" fillId="0" borderId="0" xfId="5" applyNumberFormat="1" applyFont="1" applyAlignment="1" applyProtection="1">
      <alignment horizontal="right" vertical="center"/>
      <protection locked="0"/>
    </xf>
    <xf numFmtId="3" fontId="33" fillId="0" borderId="0" xfId="5" applyNumberFormat="1" applyFont="1" applyAlignment="1" applyProtection="1">
      <alignment horizontal="left"/>
      <protection locked="0"/>
    </xf>
    <xf numFmtId="166" fontId="32" fillId="0" borderId="0" xfId="5" applyFont="1" applyAlignment="1">
      <alignment vertical="center"/>
    </xf>
    <xf numFmtId="166" fontId="32" fillId="0" borderId="0" xfId="5" applyFont="1" applyAlignment="1">
      <alignment horizontal="center" vertical="center"/>
    </xf>
    <xf numFmtId="1" fontId="34" fillId="0" borderId="0" xfId="2" applyNumberFormat="1" applyFont="1" applyAlignment="1">
      <alignment horizontal="right" vertical="center"/>
    </xf>
    <xf numFmtId="3" fontId="35" fillId="0" borderId="0" xfId="5" applyNumberFormat="1" applyFont="1" applyAlignment="1" applyProtection="1">
      <alignment horizontal="right" vertical="center"/>
      <protection locked="0"/>
    </xf>
    <xf numFmtId="3" fontId="36" fillId="0" borderId="0" xfId="5" applyNumberFormat="1" applyFont="1" applyAlignment="1" applyProtection="1">
      <alignment horizontal="left" vertical="center"/>
      <protection locked="0"/>
    </xf>
    <xf numFmtId="1" fontId="37" fillId="0" borderId="0" xfId="2" applyNumberFormat="1" applyFont="1" applyAlignment="1">
      <alignment horizontal="right" vertical="center"/>
    </xf>
    <xf numFmtId="1" fontId="24" fillId="0" borderId="0" xfId="2" applyNumberFormat="1" applyFont="1" applyAlignment="1">
      <alignment horizontal="right" vertical="center"/>
    </xf>
    <xf numFmtId="3" fontId="36" fillId="0" borderId="0" xfId="5" applyNumberFormat="1" applyFont="1" applyAlignment="1" applyProtection="1">
      <alignment horizontal="right" vertical="center"/>
      <protection locked="0"/>
    </xf>
    <xf numFmtId="3" fontId="38" fillId="0" borderId="0" xfId="5" applyNumberFormat="1" applyFont="1" applyAlignment="1" applyProtection="1">
      <alignment horizontal="left"/>
      <protection locked="0"/>
    </xf>
    <xf numFmtId="168" fontId="36" fillId="0" borderId="0" xfId="5" applyNumberFormat="1" applyFont="1" applyAlignment="1" applyProtection="1">
      <alignment horizontal="right" vertical="center"/>
      <protection locked="0"/>
    </xf>
    <xf numFmtId="170" fontId="24" fillId="0" borderId="0" xfId="2" applyNumberFormat="1" applyFont="1" applyAlignment="1">
      <alignment horizontal="right" vertical="center"/>
    </xf>
    <xf numFmtId="1" fontId="39" fillId="0" borderId="12" xfId="5" applyNumberFormat="1" applyFont="1" applyBorder="1" applyAlignment="1" applyProtection="1">
      <alignment horizontal="right" vertical="center"/>
      <protection locked="0"/>
    </xf>
    <xf numFmtId="166" fontId="29" fillId="0" borderId="12" xfId="5" applyFont="1" applyBorder="1" applyAlignment="1">
      <alignment horizontal="right" vertical="center"/>
    </xf>
    <xf numFmtId="1" fontId="37" fillId="0" borderId="15" xfId="2" applyNumberFormat="1" applyFont="1" applyBorder="1" applyAlignment="1">
      <alignment vertical="center"/>
    </xf>
    <xf numFmtId="1" fontId="37" fillId="0" borderId="0" xfId="2" applyNumberFormat="1" applyFont="1" applyBorder="1" applyAlignment="1">
      <alignment vertical="center"/>
    </xf>
    <xf numFmtId="1" fontId="37" fillId="0" borderId="0" xfId="2" applyNumberFormat="1" applyFont="1" applyBorder="1" applyAlignment="1">
      <alignment horizontal="left" vertical="center"/>
    </xf>
    <xf numFmtId="1" fontId="39" fillId="0" borderId="0" xfId="5" applyNumberFormat="1" applyFont="1" applyBorder="1" applyAlignment="1" applyProtection="1">
      <alignment horizontal="right" vertical="center"/>
      <protection locked="0"/>
    </xf>
    <xf numFmtId="166" fontId="29" fillId="0" borderId="0" xfId="5" applyFont="1" applyBorder="1" applyAlignment="1">
      <alignment horizontal="right" vertical="center"/>
    </xf>
    <xf numFmtId="167" fontId="40" fillId="0" borderId="0" xfId="6" applyNumberFormat="1" applyFont="1" applyFill="1" applyBorder="1" applyAlignment="1" applyProtection="1">
      <alignment horizontal="right" vertical="center"/>
      <protection locked="0"/>
    </xf>
    <xf numFmtId="0" fontId="39" fillId="0" borderId="0" xfId="2" applyNumberFormat="1" applyFont="1" applyBorder="1" applyAlignment="1">
      <alignment horizontal="right" vertical="center"/>
    </xf>
    <xf numFmtId="165" fontId="29" fillId="0" borderId="0" xfId="2" applyFont="1" applyBorder="1" applyAlignment="1">
      <alignment horizontal="right" vertical="center"/>
    </xf>
    <xf numFmtId="165" fontId="36" fillId="0" borderId="0" xfId="2" applyFont="1" applyBorder="1" applyAlignment="1">
      <alignment horizontal="right" vertical="center"/>
    </xf>
    <xf numFmtId="167" fontId="40" fillId="0" borderId="12" xfId="6" applyNumberFormat="1" applyFont="1" applyFill="1" applyBorder="1" applyAlignment="1" applyProtection="1">
      <alignment horizontal="right" vertical="center"/>
      <protection locked="0"/>
    </xf>
    <xf numFmtId="165" fontId="24" fillId="0" borderId="0" xfId="2" applyFont="1" applyFill="1" applyBorder="1" applyAlignment="1">
      <alignment vertical="center"/>
    </xf>
    <xf numFmtId="165" fontId="24" fillId="0" borderId="0" xfId="2" applyFont="1"/>
    <xf numFmtId="166" fontId="24" fillId="0" borderId="0" xfId="5" applyFont="1" applyAlignment="1">
      <alignment horizontal="left"/>
    </xf>
    <xf numFmtId="165" fontId="22" fillId="0" borderId="0" xfId="2" applyFont="1" applyAlignment="1"/>
    <xf numFmtId="165" fontId="22" fillId="0" borderId="0" xfId="2" applyFont="1" applyAlignment="1">
      <alignment horizontal="center"/>
    </xf>
    <xf numFmtId="165" fontId="22" fillId="0" borderId="0" xfId="2" applyFont="1" applyAlignment="1">
      <alignment horizontal="left"/>
    </xf>
    <xf numFmtId="0" fontId="42" fillId="0" borderId="0" xfId="0" applyFont="1"/>
    <xf numFmtId="0" fontId="44" fillId="0" borderId="0" xfId="9" applyFont="1" applyAlignment="1" applyProtection="1"/>
    <xf numFmtId="0" fontId="45" fillId="0" borderId="0" xfId="0" applyFont="1"/>
    <xf numFmtId="0" fontId="2" fillId="0" borderId="0" xfId="0" applyFont="1"/>
    <xf numFmtId="0" fontId="0" fillId="5" borderId="0" xfId="0" applyFill="1"/>
    <xf numFmtId="0" fontId="46" fillId="5" borderId="0" xfId="0" applyFont="1" applyFill="1"/>
    <xf numFmtId="0" fontId="21" fillId="0" borderId="0" xfId="0" applyFont="1"/>
    <xf numFmtId="0" fontId="45" fillId="0" borderId="0" xfId="0" applyFont="1" applyAlignment="1">
      <alignment vertical="center"/>
    </xf>
    <xf numFmtId="0" fontId="2" fillId="0" borderId="0" xfId="0" applyFont="1" applyAlignment="1">
      <alignment vertical="center"/>
    </xf>
    <xf numFmtId="0" fontId="43" fillId="0" borderId="0" xfId="9" applyAlignment="1" applyProtection="1">
      <alignment vertical="center"/>
    </xf>
    <xf numFmtId="0" fontId="43" fillId="0" borderId="0" xfId="9" applyAlignment="1" applyProtection="1"/>
    <xf numFmtId="0" fontId="43" fillId="0" borderId="0" xfId="9" applyAlignment="1" applyProtection="1">
      <alignment horizontal="left"/>
    </xf>
    <xf numFmtId="166" fontId="23" fillId="0" borderId="0" xfId="5" quotePrefix="1" applyFont="1" applyBorder="1" applyAlignment="1">
      <alignment horizontal="right" vertical="center"/>
    </xf>
    <xf numFmtId="166" fontId="27" fillId="0" borderId="0" xfId="5" applyFont="1" applyBorder="1" applyAlignment="1">
      <alignment vertical="center"/>
    </xf>
    <xf numFmtId="165" fontId="29" fillId="0" borderId="13" xfId="2" applyFont="1" applyBorder="1" applyAlignment="1" applyProtection="1">
      <alignment vertical="center"/>
      <protection locked="0"/>
    </xf>
    <xf numFmtId="166" fontId="43" fillId="0" borderId="0" xfId="9" quotePrefix="1" applyNumberFormat="1" applyBorder="1" applyAlignment="1" applyProtection="1">
      <alignment horizontal="left"/>
    </xf>
    <xf numFmtId="166" fontId="25" fillId="0" borderId="0" xfId="5" quotePrefix="1" applyFont="1" applyBorder="1" applyAlignment="1">
      <alignment horizontal="left" vertical="center"/>
    </xf>
    <xf numFmtId="166" fontId="25" fillId="0" borderId="0" xfId="5" quotePrefix="1" applyFont="1" applyBorder="1" applyAlignment="1">
      <alignment horizontal="left" vertical="center" indent="1"/>
    </xf>
    <xf numFmtId="166" fontId="25" fillId="0" borderId="0" xfId="5" quotePrefix="1" applyFont="1" applyFill="1" applyBorder="1" applyAlignment="1">
      <alignment horizontal="left" vertical="center" indent="1"/>
    </xf>
    <xf numFmtId="166" fontId="25" fillId="0" borderId="0" xfId="5" quotePrefix="1" applyFont="1" applyFill="1" applyBorder="1" applyAlignment="1">
      <alignment horizontal="left" vertical="center"/>
    </xf>
    <xf numFmtId="166" fontId="26" fillId="0" borderId="0" xfId="5" applyFont="1" applyFill="1" applyBorder="1" applyAlignment="1">
      <alignment vertical="center"/>
    </xf>
    <xf numFmtId="166" fontId="43" fillId="0" borderId="0" xfId="9" quotePrefix="1" applyNumberFormat="1" applyFill="1" applyBorder="1" applyAlignment="1" applyProtection="1">
      <alignment horizontal="left"/>
    </xf>
    <xf numFmtId="166" fontId="23" fillId="0" borderId="0" xfId="5" quotePrefix="1" applyFont="1" applyFill="1" applyBorder="1" applyAlignment="1">
      <alignment horizontal="right" vertical="center"/>
    </xf>
    <xf numFmtId="166" fontId="27" fillId="0" borderId="0" xfId="5" applyFont="1" applyFill="1" applyBorder="1" applyAlignment="1">
      <alignment vertical="center"/>
    </xf>
    <xf numFmtId="168" fontId="32" fillId="0" borderId="0" xfId="5" applyNumberFormat="1" applyFont="1" applyAlignment="1" applyProtection="1">
      <alignment horizontal="right" vertical="center"/>
      <protection locked="0"/>
    </xf>
    <xf numFmtId="168" fontId="35" fillId="0" borderId="0" xfId="5" applyNumberFormat="1" applyFont="1" applyAlignment="1" applyProtection="1">
      <alignment horizontal="right" vertical="center"/>
      <protection locked="0"/>
    </xf>
    <xf numFmtId="168" fontId="37" fillId="0" borderId="15" xfId="2" applyNumberFormat="1" applyFont="1" applyBorder="1" applyAlignment="1">
      <alignment vertical="center"/>
    </xf>
    <xf numFmtId="168" fontId="37" fillId="0" borderId="0" xfId="2" applyNumberFormat="1" applyFont="1" applyBorder="1" applyAlignment="1">
      <alignment vertical="center"/>
    </xf>
    <xf numFmtId="168" fontId="40" fillId="0" borderId="0" xfId="6" applyNumberFormat="1" applyFont="1" applyFill="1" applyBorder="1" applyAlignment="1" applyProtection="1">
      <alignment horizontal="right" vertical="center"/>
      <protection locked="0"/>
    </xf>
    <xf numFmtId="168" fontId="36" fillId="0" borderId="0" xfId="2" applyNumberFormat="1" applyFont="1" applyBorder="1" applyAlignment="1">
      <alignment horizontal="right" vertical="center"/>
    </xf>
    <xf numFmtId="168" fontId="40" fillId="0" borderId="12" xfId="6" applyNumberFormat="1" applyFont="1" applyFill="1" applyBorder="1" applyAlignment="1" applyProtection="1">
      <alignment horizontal="right" vertical="center"/>
      <protection locked="0"/>
    </xf>
    <xf numFmtId="4" fontId="36" fillId="0" borderId="0" xfId="5" applyNumberFormat="1" applyFont="1" applyAlignment="1" applyProtection="1">
      <alignment horizontal="right" vertical="center"/>
      <protection locked="0"/>
    </xf>
    <xf numFmtId="4" fontId="37" fillId="0" borderId="15" xfId="2" applyNumberFormat="1" applyFont="1" applyBorder="1" applyAlignment="1">
      <alignment vertical="center"/>
    </xf>
    <xf numFmtId="4" fontId="37" fillId="0" borderId="0" xfId="2" applyNumberFormat="1" applyFont="1" applyBorder="1" applyAlignment="1">
      <alignment vertical="center"/>
    </xf>
    <xf numFmtId="4" fontId="40" fillId="0" borderId="0" xfId="6" applyNumberFormat="1" applyFont="1" applyFill="1" applyBorder="1" applyAlignment="1" applyProtection="1">
      <alignment horizontal="right" vertical="center"/>
      <protection locked="0"/>
    </xf>
    <xf numFmtId="4" fontId="36" fillId="0" borderId="0" xfId="2" applyNumberFormat="1" applyFont="1" applyBorder="1" applyAlignment="1">
      <alignment horizontal="right" vertical="center"/>
    </xf>
    <xf numFmtId="4" fontId="40" fillId="0" borderId="12" xfId="6" applyNumberFormat="1" applyFont="1" applyFill="1" applyBorder="1" applyAlignment="1" applyProtection="1">
      <alignment horizontal="right" vertical="center"/>
      <protection locked="0"/>
    </xf>
    <xf numFmtId="1" fontId="32" fillId="0" borderId="0" xfId="2" applyNumberFormat="1" applyFont="1" applyAlignment="1">
      <alignment horizontal="right" vertical="center"/>
    </xf>
    <xf numFmtId="1" fontId="32" fillId="0" borderId="0" xfId="2" applyNumberFormat="1" applyFont="1" applyAlignment="1">
      <alignment horizontal="left" vertical="center"/>
    </xf>
    <xf numFmtId="166" fontId="23" fillId="0" borderId="0" xfId="5" quotePrefix="1" applyFont="1" applyFill="1" applyBorder="1" applyAlignment="1">
      <alignment horizontal="left" vertical="center"/>
    </xf>
    <xf numFmtId="0" fontId="24" fillId="0" borderId="12" xfId="0" applyFont="1" applyBorder="1" applyAlignment="1">
      <alignment horizontal="left"/>
    </xf>
    <xf numFmtId="165" fontId="29" fillId="0" borderId="0" xfId="2" applyFont="1" applyAlignment="1">
      <alignment horizontal="left"/>
    </xf>
    <xf numFmtId="166" fontId="32" fillId="0" borderId="0" xfId="5" applyFont="1" applyAlignment="1">
      <alignment horizontal="left" vertical="center"/>
    </xf>
    <xf numFmtId="1" fontId="34" fillId="0" borderId="0" xfId="2" applyNumberFormat="1" applyFont="1" applyAlignment="1">
      <alignment horizontal="left" vertical="center"/>
    </xf>
    <xf numFmtId="1" fontId="24" fillId="0" borderId="0" xfId="2" applyNumberFormat="1" applyFont="1" applyAlignment="1">
      <alignment horizontal="left" vertical="center"/>
    </xf>
    <xf numFmtId="170" fontId="24" fillId="0" borderId="0" xfId="2" applyNumberFormat="1" applyFont="1" applyAlignment="1">
      <alignment horizontal="left" vertical="center"/>
    </xf>
    <xf numFmtId="1" fontId="37" fillId="0" borderId="15" xfId="2" applyNumberFormat="1" applyFont="1" applyBorder="1" applyAlignment="1">
      <alignment horizontal="left" vertical="center"/>
    </xf>
    <xf numFmtId="166" fontId="29" fillId="0" borderId="0" xfId="5" applyFont="1" applyBorder="1" applyAlignment="1">
      <alignment horizontal="left" vertical="center"/>
    </xf>
    <xf numFmtId="165" fontId="29" fillId="0" borderId="0" xfId="2" applyFont="1" applyBorder="1" applyAlignment="1">
      <alignment horizontal="left" vertical="center"/>
    </xf>
    <xf numFmtId="166" fontId="29" fillId="0" borderId="12" xfId="5" applyFont="1" applyBorder="1" applyAlignment="1">
      <alignment horizontal="left" vertical="center"/>
    </xf>
    <xf numFmtId="166" fontId="23" fillId="0" borderId="0" xfId="5" quotePrefix="1" applyFont="1" applyBorder="1" applyAlignment="1">
      <alignment horizontal="left" vertical="center"/>
    </xf>
    <xf numFmtId="165" fontId="29" fillId="0" borderId="0" xfId="2" applyFont="1" applyBorder="1" applyAlignment="1">
      <alignment horizontal="left" wrapText="1"/>
    </xf>
    <xf numFmtId="165" fontId="29" fillId="0" borderId="13" xfId="2" applyFont="1" applyBorder="1" applyAlignment="1">
      <alignment horizontal="right" wrapText="1"/>
    </xf>
    <xf numFmtId="165" fontId="29" fillId="0" borderId="13" xfId="2" applyFont="1" applyBorder="1" applyAlignment="1">
      <alignment horizontal="center" wrapText="1"/>
    </xf>
    <xf numFmtId="165" fontId="29" fillId="0" borderId="12" xfId="2" applyFont="1" applyBorder="1" applyAlignment="1">
      <alignment horizontal="right" wrapText="1"/>
    </xf>
    <xf numFmtId="165" fontId="29" fillId="0" borderId="12" xfId="2" applyFont="1" applyBorder="1" applyAlignment="1">
      <alignment horizontal="center" wrapText="1"/>
    </xf>
    <xf numFmtId="165" fontId="29" fillId="0" borderId="13" xfId="2" applyFont="1" applyBorder="1" applyAlignment="1">
      <alignment horizontal="right"/>
    </xf>
    <xf numFmtId="165" fontId="29" fillId="0" borderId="13" xfId="2" applyFont="1" applyBorder="1" applyAlignment="1">
      <alignment horizontal="left"/>
    </xf>
    <xf numFmtId="165" fontId="29" fillId="0" borderId="15" xfId="2" applyFont="1" applyBorder="1" applyAlignment="1">
      <alignment horizontal="right"/>
    </xf>
    <xf numFmtId="165" fontId="29" fillId="0" borderId="15" xfId="2" applyFont="1" applyBorder="1" applyAlignment="1">
      <alignment horizontal="left"/>
    </xf>
    <xf numFmtId="165" fontId="29" fillId="0" borderId="12" xfId="2" applyFont="1" applyBorder="1" applyAlignment="1">
      <alignment horizontal="left" wrapText="1"/>
    </xf>
    <xf numFmtId="165" fontId="29" fillId="0" borderId="0" xfId="2" applyFont="1" applyBorder="1" applyAlignment="1" applyProtection="1">
      <alignment horizontal="center" vertical="center" wrapText="1"/>
      <protection locked="0"/>
    </xf>
    <xf numFmtId="165" fontId="29" fillId="0" borderId="0" xfId="2" applyFont="1" applyBorder="1" applyAlignment="1" applyProtection="1">
      <alignment vertical="center"/>
      <protection locked="0"/>
    </xf>
    <xf numFmtId="165" fontId="29" fillId="0" borderId="16" xfId="2" applyFont="1" applyBorder="1" applyAlignment="1" applyProtection="1">
      <alignment horizontal="center" vertical="center" wrapText="1"/>
      <protection locked="0"/>
    </xf>
    <xf numFmtId="165" fontId="30" fillId="0" borderId="12" xfId="2" applyFont="1" applyBorder="1" applyAlignment="1" applyProtection="1">
      <alignment horizontal="center" vertical="center" wrapText="1"/>
      <protection locked="0"/>
    </xf>
    <xf numFmtId="167" fontId="32" fillId="0" borderId="0" xfId="5" applyNumberFormat="1" applyFont="1" applyAlignment="1" applyProtection="1">
      <alignment horizontal="right" vertical="center"/>
      <protection locked="0"/>
    </xf>
    <xf numFmtId="167" fontId="35" fillId="0" borderId="0" xfId="5" applyNumberFormat="1" applyFont="1" applyAlignment="1" applyProtection="1">
      <alignment horizontal="right" vertical="center"/>
      <protection locked="0"/>
    </xf>
    <xf numFmtId="167" fontId="36" fillId="0" borderId="0" xfId="5" applyNumberFormat="1" applyFont="1" applyAlignment="1" applyProtection="1">
      <alignment horizontal="right" vertical="center"/>
      <protection locked="0"/>
    </xf>
    <xf numFmtId="167" fontId="37" fillId="0" borderId="15" xfId="2" applyNumberFormat="1" applyFont="1" applyBorder="1" applyAlignment="1">
      <alignment vertical="center"/>
    </xf>
    <xf numFmtId="167" fontId="37" fillId="0" borderId="0" xfId="2" applyNumberFormat="1" applyFont="1" applyBorder="1" applyAlignment="1">
      <alignment vertical="center"/>
    </xf>
    <xf numFmtId="167" fontId="36" fillId="0" borderId="0" xfId="2" applyNumberFormat="1" applyFont="1" applyBorder="1" applyAlignment="1">
      <alignment horizontal="right" vertical="center"/>
    </xf>
    <xf numFmtId="3" fontId="24" fillId="0" borderId="0" xfId="5" applyNumberFormat="1" applyFont="1" applyAlignment="1" applyProtection="1">
      <alignment horizontal="right" vertical="center"/>
      <protection locked="0"/>
    </xf>
    <xf numFmtId="166" fontId="25" fillId="0" borderId="0" xfId="5" quotePrefix="1" applyFont="1" applyFill="1" applyBorder="1" applyAlignment="1">
      <alignment vertical="center"/>
    </xf>
    <xf numFmtId="166" fontId="23" fillId="0" borderId="0" xfId="5" quotePrefix="1" applyFont="1" applyFill="1" applyBorder="1" applyAlignment="1">
      <alignment vertical="center"/>
    </xf>
    <xf numFmtId="165" fontId="24" fillId="0" borderId="15" xfId="2" applyFont="1" applyBorder="1" applyAlignment="1"/>
    <xf numFmtId="165" fontId="24" fillId="0" borderId="12" xfId="2" applyFont="1" applyBorder="1" applyAlignment="1">
      <alignment wrapText="1"/>
    </xf>
    <xf numFmtId="1" fontId="24" fillId="0" borderId="0" xfId="2" applyNumberFormat="1" applyFont="1" applyAlignment="1">
      <alignment vertical="center"/>
    </xf>
    <xf numFmtId="1" fontId="37" fillId="0" borderId="0" xfId="2" applyNumberFormat="1" applyFont="1" applyAlignment="1">
      <alignment vertical="center"/>
    </xf>
    <xf numFmtId="3" fontId="24" fillId="0" borderId="0" xfId="5" applyNumberFormat="1" applyFont="1" applyAlignment="1" applyProtection="1">
      <alignment vertical="center"/>
      <protection locked="0"/>
    </xf>
    <xf numFmtId="170" fontId="24" fillId="0" borderId="0" xfId="2" applyNumberFormat="1" applyFont="1" applyAlignment="1">
      <alignment vertical="center"/>
    </xf>
    <xf numFmtId="166" fontId="24" fillId="0" borderId="0" xfId="5" applyFont="1" applyBorder="1" applyAlignment="1">
      <alignment vertical="center"/>
    </xf>
    <xf numFmtId="165" fontId="24" fillId="0" borderId="0" xfId="2" applyFont="1" applyBorder="1" applyAlignment="1">
      <alignment vertical="center"/>
    </xf>
    <xf numFmtId="166" fontId="24" fillId="0" borderId="12" xfId="5" applyFont="1" applyBorder="1" applyAlignment="1">
      <alignment vertical="center"/>
    </xf>
    <xf numFmtId="165" fontId="24" fillId="0" borderId="0" xfId="2" applyFont="1" applyAlignment="1"/>
    <xf numFmtId="0" fontId="2" fillId="0" borderId="0" xfId="0" applyFont="1" applyAlignment="1">
      <alignment horizontal="right"/>
    </xf>
    <xf numFmtId="165" fontId="29" fillId="0" borderId="0" xfId="2" applyFont="1" applyBorder="1" applyAlignment="1">
      <alignment vertical="center" wrapText="1"/>
    </xf>
    <xf numFmtId="0" fontId="45" fillId="0" borderId="0" xfId="0" applyFont="1" applyAlignment="1"/>
    <xf numFmtId="0" fontId="2" fillId="0" borderId="0" xfId="0" applyFont="1" applyAlignment="1"/>
    <xf numFmtId="0" fontId="2" fillId="0" borderId="21" xfId="0" applyFont="1" applyBorder="1" applyAlignment="1"/>
    <xf numFmtId="0" fontId="2" fillId="0" borderId="11" xfId="0" applyFont="1" applyBorder="1" applyAlignment="1"/>
    <xf numFmtId="0" fontId="2" fillId="0" borderId="22" xfId="0" applyFont="1" applyBorder="1" applyAlignment="1"/>
    <xf numFmtId="0" fontId="45" fillId="0" borderId="23" xfId="0" applyFont="1" applyBorder="1" applyAlignment="1"/>
    <xf numFmtId="0" fontId="45" fillId="0" borderId="0" xfId="0" applyFont="1" applyBorder="1" applyAlignment="1"/>
    <xf numFmtId="0" fontId="2" fillId="0" borderId="0" xfId="0" applyFont="1" applyBorder="1" applyAlignment="1"/>
    <xf numFmtId="0" fontId="2" fillId="0" borderId="24" xfId="0" applyFont="1" applyBorder="1" applyAlignment="1"/>
    <xf numFmtId="0" fontId="45" fillId="0" borderId="23" xfId="0" applyFont="1" applyBorder="1" applyAlignment="1">
      <alignment horizontal="center"/>
    </xf>
    <xf numFmtId="0" fontId="45" fillId="0" borderId="0" xfId="0" applyFont="1" applyBorder="1" applyAlignment="1">
      <alignment horizontal="center"/>
    </xf>
    <xf numFmtId="0" fontId="2" fillId="0" borderId="25" xfId="0" applyFont="1" applyBorder="1" applyAlignment="1"/>
    <xf numFmtId="0" fontId="2" fillId="0" borderId="9" xfId="0" applyFont="1" applyBorder="1" applyAlignment="1"/>
    <xf numFmtId="0" fontId="2" fillId="0" borderId="26" xfId="0" applyFont="1" applyBorder="1" applyAlignment="1"/>
    <xf numFmtId="0" fontId="6" fillId="0" borderId="0" xfId="0" applyFont="1" applyAlignment="1"/>
    <xf numFmtId="0" fontId="8" fillId="0" borderId="0" xfId="0" applyFont="1" applyAlignment="1"/>
    <xf numFmtId="0" fontId="43" fillId="0" borderId="0" xfId="9" applyAlignment="1" applyProtection="1">
      <alignment horizontal="right"/>
    </xf>
    <xf numFmtId="0" fontId="56" fillId="0" borderId="0" xfId="0" applyFont="1" applyAlignment="1"/>
    <xf numFmtId="0" fontId="2" fillId="0" borderId="0" xfId="0" applyFont="1" applyAlignment="1">
      <alignment horizontal="left"/>
    </xf>
    <xf numFmtId="165" fontId="29" fillId="0" borderId="0" xfId="2" applyFont="1" applyBorder="1" applyAlignment="1">
      <alignment vertical="center" wrapText="1"/>
    </xf>
    <xf numFmtId="165" fontId="36" fillId="0" borderId="0" xfId="2" applyFont="1" applyBorder="1" applyAlignment="1">
      <alignment horizontal="left" vertical="center"/>
    </xf>
    <xf numFmtId="167" fontId="40" fillId="0" borderId="12" xfId="6" applyNumberFormat="1" applyFont="1" applyFill="1" applyBorder="1" applyAlignment="1" applyProtection="1">
      <alignment horizontal="left" vertical="center"/>
      <protection locked="0"/>
    </xf>
    <xf numFmtId="166" fontId="27" fillId="0" borderId="0" xfId="5" applyFont="1" applyBorder="1" applyAlignment="1">
      <alignment horizontal="left" vertical="center"/>
    </xf>
    <xf numFmtId="167" fontId="40" fillId="0" borderId="0" xfId="6" applyNumberFormat="1" applyFont="1" applyFill="1" applyBorder="1" applyAlignment="1" applyProtection="1">
      <alignment horizontal="left" vertical="center"/>
      <protection locked="0"/>
    </xf>
    <xf numFmtId="3" fontId="33" fillId="0" borderId="0" xfId="5" applyNumberFormat="1" applyFont="1" applyAlignment="1" applyProtection="1">
      <protection locked="0"/>
    </xf>
    <xf numFmtId="3" fontId="38" fillId="0" borderId="0" xfId="5" applyNumberFormat="1" applyFont="1" applyAlignment="1" applyProtection="1">
      <protection locked="0"/>
    </xf>
    <xf numFmtId="165" fontId="36" fillId="0" borderId="0" xfId="2" applyFont="1" applyBorder="1" applyAlignment="1">
      <alignment vertical="center"/>
    </xf>
    <xf numFmtId="167" fontId="40" fillId="0" borderId="12" xfId="6" applyNumberFormat="1" applyFont="1" applyFill="1" applyBorder="1" applyAlignment="1" applyProtection="1">
      <alignment vertical="center"/>
      <protection locked="0"/>
    </xf>
    <xf numFmtId="166" fontId="27" fillId="0" borderId="0" xfId="5" applyFont="1" applyFill="1" applyBorder="1" applyAlignment="1">
      <alignment horizontal="left" vertical="center"/>
    </xf>
    <xf numFmtId="165" fontId="29" fillId="0" borderId="16" xfId="2" applyFont="1" applyBorder="1" applyAlignment="1" applyProtection="1">
      <alignment horizontal="left" vertical="center" wrapText="1"/>
      <protection locked="0"/>
    </xf>
    <xf numFmtId="165" fontId="29" fillId="0" borderId="0" xfId="2" applyFont="1" applyBorder="1" applyAlignment="1" applyProtection="1">
      <alignment horizontal="left" vertical="center"/>
      <protection locked="0"/>
    </xf>
    <xf numFmtId="165" fontId="30" fillId="0" borderId="12" xfId="2" applyFont="1" applyBorder="1" applyAlignment="1" applyProtection="1">
      <alignment horizontal="left" vertical="center" wrapText="1"/>
      <protection locked="0"/>
    </xf>
    <xf numFmtId="3" fontId="32" fillId="0" borderId="0" xfId="5" applyNumberFormat="1" applyFont="1" applyAlignment="1" applyProtection="1">
      <alignment horizontal="left" vertical="center"/>
      <protection locked="0"/>
    </xf>
    <xf numFmtId="3" fontId="35" fillId="0" borderId="0" xfId="5" applyNumberFormat="1" applyFont="1" applyAlignment="1" applyProtection="1">
      <alignment horizontal="left" vertical="center"/>
      <protection locked="0"/>
    </xf>
    <xf numFmtId="0" fontId="47" fillId="5" borderId="0" xfId="0" applyFont="1" applyFill="1"/>
    <xf numFmtId="0" fontId="2" fillId="5" borderId="0" xfId="0" applyFont="1" applyFill="1"/>
    <xf numFmtId="0" fontId="45" fillId="5" borderId="0" xfId="0" applyFont="1" applyFill="1"/>
    <xf numFmtId="0" fontId="2" fillId="5" borderId="0" xfId="0" applyFont="1" applyFill="1" applyAlignment="1">
      <alignment horizontal="right"/>
    </xf>
    <xf numFmtId="0" fontId="8" fillId="5" borderId="17" xfId="0" applyFont="1" applyFill="1" applyBorder="1"/>
    <xf numFmtId="0" fontId="8" fillId="5" borderId="0" xfId="0" applyFont="1" applyFill="1"/>
    <xf numFmtId="0" fontId="48" fillId="5" borderId="18" xfId="0" applyFont="1" applyFill="1" applyBorder="1" applyAlignment="1"/>
    <xf numFmtId="0" fontId="55" fillId="5" borderId="19" xfId="0" applyFont="1" applyFill="1" applyBorder="1" applyAlignment="1"/>
    <xf numFmtId="0" fontId="55" fillId="5" borderId="20" xfId="0" applyFont="1" applyFill="1" applyBorder="1" applyAlignment="1"/>
    <xf numFmtId="0" fontId="55" fillId="5" borderId="0" xfId="0" applyFont="1" applyFill="1" applyAlignment="1"/>
    <xf numFmtId="0" fontId="2" fillId="5" borderId="17" xfId="0" applyFont="1" applyFill="1" applyBorder="1"/>
    <xf numFmtId="0" fontId="43" fillId="5" borderId="17" xfId="9" applyFill="1" applyBorder="1" applyAlignment="1" applyProtection="1"/>
    <xf numFmtId="0" fontId="0" fillId="5" borderId="17" xfId="0" applyFont="1" applyFill="1" applyBorder="1" applyAlignment="1"/>
    <xf numFmtId="0" fontId="2" fillId="5" borderId="17" xfId="0" applyFont="1" applyFill="1" applyBorder="1" applyAlignment="1"/>
    <xf numFmtId="0" fontId="2" fillId="5" borderId="0" xfId="0" applyFont="1" applyFill="1" applyBorder="1"/>
    <xf numFmtId="165" fontId="29" fillId="0" borderId="0" xfId="2" applyFont="1" applyBorder="1" applyAlignment="1">
      <alignment vertical="center" wrapText="1"/>
    </xf>
    <xf numFmtId="0" fontId="45" fillId="0" borderId="11" xfId="0" applyFont="1" applyBorder="1" applyAlignment="1"/>
    <xf numFmtId="0" fontId="2" fillId="0" borderId="23" xfId="0" applyFont="1" applyBorder="1" applyAlignment="1"/>
    <xf numFmtId="169" fontId="24" fillId="0" borderId="0" xfId="4" applyNumberFormat="1" applyFont="1" applyAlignment="1">
      <alignment vertical="center"/>
    </xf>
    <xf numFmtId="1" fontId="24" fillId="0" borderId="0" xfId="4" applyNumberFormat="1" applyFont="1" applyAlignment="1">
      <alignment vertical="center"/>
    </xf>
    <xf numFmtId="9" fontId="32" fillId="0" borderId="0" xfId="4" applyFont="1" applyAlignment="1">
      <alignment vertical="center"/>
    </xf>
    <xf numFmtId="0" fontId="45" fillId="0" borderId="0" xfId="0" applyFont="1" applyFill="1"/>
    <xf numFmtId="171" fontId="2" fillId="0" borderId="0" xfId="0" applyNumberFormat="1" applyFont="1" applyFill="1" applyAlignment="1">
      <alignment horizontal="left"/>
    </xf>
    <xf numFmtId="172" fontId="38" fillId="0" borderId="0" xfId="5" applyNumberFormat="1" applyFont="1" applyAlignment="1" applyProtection="1">
      <alignment horizontal="left"/>
      <protection locked="0"/>
    </xf>
    <xf numFmtId="168" fontId="38" fillId="0" borderId="0" xfId="5" applyNumberFormat="1" applyFont="1" applyAlignment="1" applyProtection="1">
      <alignment horizontal="left"/>
      <protection locked="0"/>
    </xf>
    <xf numFmtId="169" fontId="24" fillId="0" borderId="0" xfId="4" applyNumberFormat="1" applyFont="1" applyAlignment="1" applyProtection="1">
      <alignment horizontal="right" vertical="center"/>
      <protection locked="0"/>
    </xf>
    <xf numFmtId="3" fontId="28" fillId="0" borderId="0" xfId="5" applyNumberFormat="1" applyFont="1" applyAlignment="1" applyProtection="1">
      <alignment horizontal="left"/>
      <protection locked="0"/>
    </xf>
    <xf numFmtId="0" fontId="45" fillId="0" borderId="0" xfId="0" applyFont="1" applyFill="1" applyAlignment="1">
      <alignment vertical="center"/>
    </xf>
    <xf numFmtId="0" fontId="2" fillId="0" borderId="0" xfId="0" applyFont="1" applyFill="1" applyAlignment="1">
      <alignment vertical="center"/>
    </xf>
    <xf numFmtId="0" fontId="43" fillId="0" borderId="0" xfId="9" applyFill="1" applyAlignment="1" applyProtection="1">
      <alignment vertical="center"/>
    </xf>
    <xf numFmtId="0" fontId="8" fillId="4" borderId="8" xfId="0" applyFont="1" applyFill="1" applyBorder="1" applyAlignment="1">
      <alignment horizontal="center"/>
    </xf>
    <xf numFmtId="0" fontId="8" fillId="4" borderId="0" xfId="0" applyFont="1" applyFill="1" applyBorder="1" applyAlignment="1">
      <alignment horizontal="center"/>
    </xf>
    <xf numFmtId="0" fontId="8" fillId="4" borderId="7" xfId="0" applyFont="1" applyFill="1" applyBorder="1" applyAlignment="1">
      <alignment horizontal="center"/>
    </xf>
    <xf numFmtId="0" fontId="8" fillId="4" borderId="8" xfId="0" applyFont="1" applyFill="1" applyBorder="1" applyAlignment="1" applyProtection="1">
      <alignment horizontal="center"/>
      <protection locked="0"/>
    </xf>
    <xf numFmtId="0" fontId="8" fillId="4" borderId="0" xfId="0" applyFont="1" applyFill="1" applyBorder="1" applyAlignment="1" applyProtection="1">
      <alignment horizontal="center"/>
      <protection locked="0"/>
    </xf>
    <xf numFmtId="0" fontId="8" fillId="4" borderId="0" xfId="0" applyFont="1" applyFill="1" applyAlignment="1">
      <alignment horizontal="center"/>
    </xf>
    <xf numFmtId="0" fontId="6" fillId="2" borderId="10" xfId="0" applyFont="1" applyFill="1" applyBorder="1" applyAlignment="1">
      <alignment horizontal="center" vertical="center"/>
    </xf>
    <xf numFmtId="0" fontId="6" fillId="2" borderId="0" xfId="0" applyFont="1" applyFill="1" applyBorder="1" applyAlignment="1">
      <alignment horizontal="center" vertical="center"/>
    </xf>
    <xf numFmtId="1" fontId="11" fillId="0" borderId="0" xfId="0" applyNumberFormat="1" applyFont="1" applyFill="1" applyAlignment="1">
      <alignment horizontal="center"/>
    </xf>
    <xf numFmtId="1" fontId="11" fillId="0" borderId="0" xfId="0" applyNumberFormat="1" applyFont="1" applyAlignment="1">
      <alignment horizontal="center"/>
    </xf>
    <xf numFmtId="1" fontId="17" fillId="0" borderId="0" xfId="0" applyNumberFormat="1" applyFont="1" applyFill="1" applyAlignment="1">
      <alignment horizontal="center"/>
    </xf>
    <xf numFmtId="1" fontId="11" fillId="3" borderId="0" xfId="0" applyNumberFormat="1" applyFont="1" applyFill="1" applyAlignment="1">
      <alignment horizontal="center"/>
    </xf>
    <xf numFmtId="166" fontId="28" fillId="0" borderId="12" xfId="5" applyFont="1" applyBorder="1" applyAlignment="1">
      <alignment horizontal="right" vertical="center" wrapText="1"/>
    </xf>
    <xf numFmtId="165" fontId="39" fillId="0" borderId="13" xfId="2" applyFont="1" applyBorder="1" applyAlignment="1" applyProtection="1">
      <alignment horizontal="center" wrapText="1"/>
      <protection locked="0"/>
    </xf>
    <xf numFmtId="165" fontId="29" fillId="0" borderId="0" xfId="2" applyFont="1" applyBorder="1" applyAlignment="1">
      <alignment horizontal="left" vertical="top" wrapText="1"/>
    </xf>
    <xf numFmtId="165" fontId="29" fillId="0" borderId="0" xfId="2" applyFont="1" applyBorder="1" applyAlignment="1">
      <alignment horizontal="left" vertical="center" wrapText="1"/>
    </xf>
    <xf numFmtId="165" fontId="29" fillId="0" borderId="13" xfId="2" applyFont="1" applyBorder="1" applyAlignment="1" applyProtection="1">
      <alignment horizontal="center" wrapText="1"/>
      <protection locked="0"/>
    </xf>
    <xf numFmtId="165" fontId="41" fillId="0" borderId="15" xfId="2" applyFont="1" applyBorder="1" applyAlignment="1">
      <alignment horizontal="left" vertical="center" wrapText="1"/>
    </xf>
    <xf numFmtId="165" fontId="24" fillId="0" borderId="0" xfId="2" applyFont="1" applyBorder="1" applyAlignment="1">
      <alignment horizontal="left" vertical="center" wrapText="1"/>
    </xf>
    <xf numFmtId="165" fontId="24" fillId="0" borderId="0" xfId="2" applyFont="1" applyAlignment="1">
      <alignment horizontal="left" wrapText="1"/>
    </xf>
    <xf numFmtId="165" fontId="41" fillId="0" borderId="0" xfId="2" applyFont="1" applyBorder="1" applyAlignment="1">
      <alignment horizontal="left" vertical="center" wrapText="1"/>
    </xf>
    <xf numFmtId="165" fontId="39" fillId="0" borderId="13" xfId="2" applyFont="1" applyBorder="1" applyAlignment="1" applyProtection="1">
      <alignment horizontal="center" vertical="center" wrapText="1"/>
      <protection locked="0"/>
    </xf>
    <xf numFmtId="165" fontId="29" fillId="0" borderId="13" xfId="2" applyFont="1" applyBorder="1" applyAlignment="1" applyProtection="1">
      <alignment horizontal="center" vertical="center" wrapText="1"/>
      <protection locked="0"/>
    </xf>
    <xf numFmtId="165" fontId="29" fillId="0" borderId="13" xfId="2" applyFont="1" applyBorder="1" applyAlignment="1" applyProtection="1">
      <alignment horizontal="center" vertical="center"/>
      <protection locked="0"/>
    </xf>
    <xf numFmtId="165" fontId="39" fillId="0" borderId="15" xfId="2" applyFont="1" applyBorder="1" applyAlignment="1" applyProtection="1">
      <alignment horizontal="center" wrapText="1"/>
      <protection locked="0"/>
    </xf>
    <xf numFmtId="165" fontId="39" fillId="0" borderId="12" xfId="2" applyFont="1" applyBorder="1" applyAlignment="1" applyProtection="1">
      <alignment horizontal="center" wrapText="1"/>
      <protection locked="0"/>
    </xf>
    <xf numFmtId="165" fontId="29" fillId="0" borderId="14" xfId="2" applyFont="1" applyBorder="1" applyAlignment="1" applyProtection="1">
      <alignment horizontal="center" vertical="center"/>
      <protection locked="0"/>
    </xf>
    <xf numFmtId="165" fontId="29" fillId="0" borderId="14" xfId="2" applyFont="1" applyBorder="1" applyAlignment="1" applyProtection="1">
      <alignment horizontal="center" vertical="center" wrapText="1"/>
      <protection locked="0"/>
    </xf>
    <xf numFmtId="165" fontId="29" fillId="0" borderId="16" xfId="2" applyFont="1" applyBorder="1" applyAlignment="1" applyProtection="1">
      <alignment horizontal="center" wrapText="1"/>
      <protection locked="0"/>
    </xf>
    <xf numFmtId="165" fontId="39" fillId="0" borderId="0" xfId="2" applyFont="1" applyBorder="1" applyAlignment="1" applyProtection="1">
      <alignment horizontal="center" wrapText="1"/>
      <protection locked="0"/>
    </xf>
    <xf numFmtId="165" fontId="29" fillId="0" borderId="15" xfId="2" applyFont="1" applyBorder="1" applyAlignment="1" applyProtection="1">
      <alignment horizontal="center" wrapText="1"/>
      <protection locked="0"/>
    </xf>
    <xf numFmtId="165" fontId="29" fillId="0" borderId="12" xfId="2" applyFont="1" applyBorder="1" applyAlignment="1" applyProtection="1">
      <alignment horizontal="center" wrapText="1"/>
      <protection locked="0"/>
    </xf>
    <xf numFmtId="166" fontId="26" fillId="0" borderId="0" xfId="5" applyFont="1" applyFill="1" applyBorder="1" applyAlignment="1">
      <alignment vertical="center" wrapText="1"/>
    </xf>
    <xf numFmtId="165" fontId="29" fillId="0" borderId="15" xfId="2" applyFont="1" applyBorder="1" applyAlignment="1" applyProtection="1">
      <alignment horizontal="center" vertical="center" wrapText="1"/>
      <protection locked="0"/>
    </xf>
    <xf numFmtId="165" fontId="29" fillId="0" borderId="12" xfId="2" applyFont="1" applyBorder="1" applyAlignment="1" applyProtection="1">
      <alignment horizontal="center" vertical="center" wrapText="1"/>
      <protection locked="0"/>
    </xf>
    <xf numFmtId="165" fontId="29" fillId="0" borderId="15" xfId="2" applyFont="1" applyBorder="1" applyAlignment="1" applyProtection="1">
      <alignment horizontal="center" vertical="center"/>
      <protection locked="0"/>
    </xf>
    <xf numFmtId="165" fontId="29" fillId="0" borderId="12" xfId="2" applyFont="1" applyBorder="1" applyAlignment="1" applyProtection="1">
      <alignment horizontal="center" vertical="center"/>
      <protection locked="0"/>
    </xf>
    <xf numFmtId="165" fontId="29" fillId="0" borderId="15" xfId="2" applyFont="1" applyBorder="1" applyAlignment="1">
      <alignment horizontal="left" vertical="center" wrapText="1"/>
    </xf>
    <xf numFmtId="165" fontId="29" fillId="0" borderId="0" xfId="2" applyFont="1" applyBorder="1" applyAlignment="1">
      <alignment vertical="center" wrapText="1"/>
    </xf>
  </cellXfs>
  <cellStyles count="10">
    <cellStyle name="Comma" xfId="1" builtinId="3"/>
    <cellStyle name="Comma 2" xfId="7"/>
    <cellStyle name="Hyperlink" xfId="9" builtinId="8"/>
    <cellStyle name="Normal" xfId="0" builtinId="0"/>
    <cellStyle name="Normal 2" xfId="3"/>
    <cellStyle name="Normal 3" xfId="8"/>
    <cellStyle name="Normal_TABLE1" xfId="5"/>
    <cellStyle name="Normal_TABLE2" xfId="2"/>
    <cellStyle name="Percent" xfId="4" builtinId="5"/>
    <cellStyle name="Percent 2" xfId="6"/>
  </cellStyles>
  <dxfs count="8">
    <dxf>
      <border>
        <bottom style="dashed">
          <color theme="0" tint="-0.499984740745262"/>
        </bottom>
        <vertical/>
        <horizontal/>
      </border>
    </dxf>
    <dxf>
      <border>
        <bottom style="dashed">
          <color theme="0" tint="-0.499984740745262"/>
        </bottom>
        <vertical/>
        <horizontal/>
      </border>
    </dxf>
    <dxf>
      <border>
        <bottom style="dashed">
          <color theme="0" tint="-0.499984740745262"/>
        </bottom>
        <vertical/>
        <horizontal/>
      </border>
    </dxf>
    <dxf>
      <border>
        <bottom style="dashed">
          <color theme="0" tint="-0.499984740745262"/>
        </bottom>
        <vertical/>
        <horizontal/>
      </border>
    </dxf>
    <dxf>
      <border>
        <bottom style="dotted">
          <color theme="0" tint="-0.499984740745262"/>
        </bottom>
        <vertical/>
        <horizontal/>
      </border>
    </dxf>
    <dxf>
      <border>
        <bottom style="dotted">
          <color theme="0" tint="-0.499984740745262"/>
        </bottom>
        <vertical/>
        <horizontal/>
      </border>
    </dxf>
    <dxf>
      <border>
        <bottom style="dotted">
          <color theme="0" tint="-0.499984740745262"/>
        </bottom>
        <vertical/>
        <horizontal/>
      </border>
    </dxf>
    <dxf>
      <font>
        <condense val="0"/>
        <extend val="0"/>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3378"/>
      <rgbColor rgb="000055C9"/>
      <rgbColor rgb="000771FF"/>
      <rgbColor rgb="0095C5F0"/>
      <rgbColor rgb="00B10700"/>
      <rgbColor rgb="00FA3E00"/>
      <rgbColor rgb="00FCC705"/>
      <rgbColor rgb="00BFBF99"/>
      <rgbColor rgb="000055C9"/>
      <rgbColor rgb="0026CFFF"/>
      <rgbColor rgb="0095C5F0"/>
      <rgbColor rgb="00B10700"/>
      <rgbColor rgb="00FA3E00"/>
      <rgbColor rgb="00FCC705"/>
      <rgbColor rgb="0036B300"/>
      <rgbColor rgb="009EFF0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99"/>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_rels/drawing3.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1257300</xdr:colOff>
      <xdr:row>5</xdr:row>
      <xdr:rowOff>9525</xdr:rowOff>
    </xdr:to>
    <xdr:pic>
      <xdr:nvPicPr>
        <xdr:cNvPr id="2" name="Picture 1" descr="Insolvency Service_BLK_SML_AW"/>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0975" y="161925"/>
          <a:ext cx="1257300" cy="657225"/>
        </a:xfrm>
        <a:prstGeom prst="rect">
          <a:avLst/>
        </a:prstGeom>
        <a:noFill/>
        <a:ln>
          <a:noFill/>
        </a:ln>
      </xdr:spPr>
    </xdr:pic>
    <xdr:clientData/>
  </xdr:twoCellAnchor>
  <xdr:twoCellAnchor editAs="oneCell">
    <xdr:from>
      <xdr:col>6</xdr:col>
      <xdr:colOff>139700</xdr:colOff>
      <xdr:row>0</xdr:row>
      <xdr:rowOff>0</xdr:rowOff>
    </xdr:from>
    <xdr:to>
      <xdr:col>7</xdr:col>
      <xdr:colOff>509270</xdr:colOff>
      <xdr:row>6</xdr:row>
      <xdr:rowOff>13970</xdr:rowOff>
    </xdr:to>
    <xdr:pic>
      <xdr:nvPicPr>
        <xdr:cNvPr id="3" name="Picture 2"/>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283450" y="0"/>
          <a:ext cx="972820" cy="96647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0</xdr:colOff>
      <xdr:row>1</xdr:row>
      <xdr:rowOff>0</xdr:rowOff>
    </xdr:from>
    <xdr:to>
      <xdr:col>4</xdr:col>
      <xdr:colOff>985520</xdr:colOff>
      <xdr:row>6</xdr:row>
      <xdr:rowOff>90170</xdr:rowOff>
    </xdr:to>
    <xdr:pic>
      <xdr:nvPicPr>
        <xdr:cNvPr id="2" name="Picture 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438775" y="161925"/>
          <a:ext cx="985520" cy="98552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361950</xdr:colOff>
      <xdr:row>1</xdr:row>
      <xdr:rowOff>142874</xdr:rowOff>
    </xdr:from>
    <xdr:to>
      <xdr:col>4</xdr:col>
      <xdr:colOff>219075</xdr:colOff>
      <xdr:row>5</xdr:row>
      <xdr:rowOff>142875</xdr:rowOff>
    </xdr:to>
    <xdr:pic>
      <xdr:nvPicPr>
        <xdr:cNvPr id="3" name="Picture 2" descr="Insolvency Service_BLK_SML_AW"/>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1950" y="304799"/>
          <a:ext cx="1276350" cy="647701"/>
        </a:xfrm>
        <a:prstGeom prst="rect">
          <a:avLst/>
        </a:prstGeom>
        <a:noFill/>
        <a:ln>
          <a:noFill/>
        </a:ln>
      </xdr:spPr>
    </xdr:pic>
    <xdr:clientData/>
  </xdr:twoCellAnchor>
  <xdr:twoCellAnchor editAs="oneCell">
    <xdr:from>
      <xdr:col>9</xdr:col>
      <xdr:colOff>419100</xdr:colOff>
      <xdr:row>1</xdr:row>
      <xdr:rowOff>28574</xdr:rowOff>
    </xdr:from>
    <xdr:to>
      <xdr:col>11</xdr:col>
      <xdr:colOff>99695</xdr:colOff>
      <xdr:row>7</xdr:row>
      <xdr:rowOff>42544</xdr:rowOff>
    </xdr:to>
    <xdr:pic>
      <xdr:nvPicPr>
        <xdr:cNvPr id="4" name="Picture 3"/>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772025" y="190499"/>
          <a:ext cx="985520" cy="985520"/>
        </a:xfrm>
        <a:prstGeom prst="rect">
          <a:avLst/>
        </a:prstGeom>
      </xdr:spPr>
    </xdr:pic>
    <xdr:clientData/>
  </xdr:twoCellAnchor>
</xdr:wsDr>
</file>

<file path=xl/theme/theme1.xml><?xml version="1.0" encoding="utf-8"?>
<a:theme xmlns:a="http://schemas.openxmlformats.org/drawingml/2006/main" name="Insolvency Service">
  <a:themeElements>
    <a:clrScheme name="Insolvency Service">
      <a:dk1>
        <a:sysClr val="windowText" lastClr="000000"/>
      </a:dk1>
      <a:lt1>
        <a:sysClr val="window" lastClr="FFFFFF"/>
      </a:lt1>
      <a:dk2>
        <a:srgbClr val="1F497D"/>
      </a:dk2>
      <a:lt2>
        <a:srgbClr val="EEECE1"/>
      </a:lt2>
      <a:accent1>
        <a:srgbClr val="0055C9"/>
      </a:accent1>
      <a:accent2>
        <a:srgbClr val="B10700"/>
      </a:accent2>
      <a:accent3>
        <a:srgbClr val="36B300"/>
      </a:accent3>
      <a:accent4>
        <a:srgbClr val="BFBF99"/>
      </a:accent4>
      <a:accent5>
        <a:srgbClr val="FCC705"/>
      </a:accent5>
      <a:accent6>
        <a:srgbClr val="26CFFF"/>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gov.uk/government/collections/insolvency-service-official-statistics" TargetMode="External"/><Relationship Id="rId2" Type="http://schemas.openxmlformats.org/officeDocument/2006/relationships/hyperlink" Target="mailto:statistics@insolvency.gsi.gov.uk" TargetMode="External"/><Relationship Id="rId1" Type="http://schemas.openxmlformats.org/officeDocument/2006/relationships/hyperlink" Target="https://www.gov.uk/government/collections/insolvency-service-official-statistics" TargetMode="External"/><Relationship Id="rId5" Type="http://schemas.openxmlformats.org/officeDocument/2006/relationships/drawing" Target="../drawings/drawing1.x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hyperlink" Target="http://www.ons.gov.uk/ons/rel/bus-register/business-demography/index.html" TargetMode="External"/><Relationship Id="rId13" Type="http://schemas.openxmlformats.org/officeDocument/2006/relationships/hyperlink" Target="http://webarchive.nationalarchives.gov.uk/20140311023846/http:/bis.gov.uk/insolvency/About-us/our-performance-statistics/insolvency-statistics" TargetMode="External"/><Relationship Id="rId18" Type="http://schemas.openxmlformats.org/officeDocument/2006/relationships/hyperlink" Target="https://www.gov.uk/government/publications/insolvency-statistics-policy-and-procedures" TargetMode="External"/><Relationship Id="rId3" Type="http://schemas.openxmlformats.org/officeDocument/2006/relationships/hyperlink" Target="https://www.gov.uk/government/publications/insolvency-statistics-policy-and-procedures" TargetMode="External"/><Relationship Id="rId7" Type="http://schemas.openxmlformats.org/officeDocument/2006/relationships/hyperlink" Target="http://www.aib.gov.uk/" TargetMode="External"/><Relationship Id="rId12" Type="http://schemas.openxmlformats.org/officeDocument/2006/relationships/hyperlink" Target="http://www.statisticsauthority.gov.uk/assessment/code-of-practice/index.html" TargetMode="External"/><Relationship Id="rId17" Type="http://schemas.openxmlformats.org/officeDocument/2006/relationships/hyperlink" Target="https://www.gov.uk/government/collections/insolvency-service-official-statistics" TargetMode="External"/><Relationship Id="rId2" Type="http://schemas.openxmlformats.org/officeDocument/2006/relationships/hyperlink" Target="https://www.gov.uk/government/publications/insolvency-statistics-policy-and-procedures" TargetMode="External"/><Relationship Id="rId16" Type="http://schemas.openxmlformats.org/officeDocument/2006/relationships/hyperlink" Target="https://www.gov.uk/government/publications/insolvency-statistics-policy-and-procedures" TargetMode="External"/><Relationship Id="rId20" Type="http://schemas.openxmlformats.org/officeDocument/2006/relationships/drawing" Target="../drawings/drawing3.xml"/><Relationship Id="rId1" Type="http://schemas.openxmlformats.org/officeDocument/2006/relationships/hyperlink" Target="https://www.gov.uk/government/collections/insolvency-service-official-statistics" TargetMode="External"/><Relationship Id="rId6" Type="http://schemas.openxmlformats.org/officeDocument/2006/relationships/hyperlink" Target="https://www.gov.uk/government/statistics?keywords=Incorporated&amp;topics%5B%5D=all&amp;departments%5B%5D=companies-house&amp;from_date=&amp;to_date" TargetMode="External"/><Relationship Id="rId11" Type="http://schemas.openxmlformats.org/officeDocument/2006/relationships/hyperlink" Target="https://www.gov.uk/government/statistics/announcements?utf8=%E2%9C%93&amp;keywords=&amp;topics%5B%5D=&amp;organisations%5B%5D=insolvency-service&amp;from_date=&amp;to_date=&amp;commit=Refresh+results" TargetMode="External"/><Relationship Id="rId5" Type="http://schemas.openxmlformats.org/officeDocument/2006/relationships/hyperlink" Target="https://www.gov.uk/government/publications/insolvency-statistics-policy-and-procedures" TargetMode="External"/><Relationship Id="rId15" Type="http://schemas.openxmlformats.org/officeDocument/2006/relationships/hyperlink" Target="http://www.ons.gov.uk/ons/taxonomy/index.html?nscl=Population+Estimates" TargetMode="External"/><Relationship Id="rId10" Type="http://schemas.openxmlformats.org/officeDocument/2006/relationships/hyperlink" Target="https://www.gov.uk/government/collections/insolvency-service-official-statistics" TargetMode="External"/><Relationship Id="rId19" Type="http://schemas.openxmlformats.org/officeDocument/2006/relationships/printerSettings" Target="../printerSettings/printerSettings5.bin"/><Relationship Id="rId4" Type="http://schemas.openxmlformats.org/officeDocument/2006/relationships/hyperlink" Target="http://www.statistics.gr/portal/page/portal/ESYE/BUCKET/General/code_of_practice_en.pdf" TargetMode="External"/><Relationship Id="rId9" Type="http://schemas.openxmlformats.org/officeDocument/2006/relationships/hyperlink" Target="https://www.gov.uk/government/statistics/announcements?utf8=%E2%9C%93&amp;keywords=&amp;topics%5B%5D=&amp;organisations%5B%5D=insolvency-service&amp;from_date=&amp;to_date=&amp;commit=Refresh+results" TargetMode="External"/><Relationship Id="rId14" Type="http://schemas.openxmlformats.org/officeDocument/2006/relationships/hyperlink" Target="https://www.gov.uk/government/collections/insolvency-service-official-statistics"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A1:BL378"/>
  <sheetViews>
    <sheetView zoomScaleNormal="100" workbookViewId="0">
      <pane xSplit="3" ySplit="5" topLeftCell="D177" activePane="bottomRight" state="frozenSplit"/>
      <selection activeCell="I60" sqref="I60"/>
      <selection pane="topRight" activeCell="I60" sqref="I60"/>
      <selection pane="bottomLeft" activeCell="I60" sqref="I60"/>
      <selection pane="bottomRight" activeCell="I60" sqref="I60"/>
    </sheetView>
  </sheetViews>
  <sheetFormatPr defaultRowHeight="11.25" x14ac:dyDescent="0.2"/>
  <cols>
    <col min="1" max="1" width="9.140625" style="10"/>
    <col min="2" max="2" width="11.42578125" style="10" bestFit="1" customWidth="1"/>
    <col min="3" max="3" width="11.28515625" style="11" customWidth="1"/>
    <col min="4" max="4" width="10.42578125" style="46" customWidth="1"/>
    <col min="5" max="5" width="9.28515625" style="46" bestFit="1" customWidth="1"/>
    <col min="6" max="6" width="10.85546875" style="85" bestFit="1" customWidth="1"/>
    <col min="7" max="8" width="11.42578125" style="54" customWidth="1"/>
    <col min="9" max="11" width="11.42578125" style="85" customWidth="1"/>
    <col min="12" max="16" width="10.7109375" style="54" customWidth="1"/>
    <col min="17" max="17" width="10.7109375" style="85" customWidth="1"/>
    <col min="18" max="19" width="10.7109375" style="54" customWidth="1"/>
    <col min="20" max="20" width="10.7109375" style="85" customWidth="1"/>
    <col min="21" max="21" width="10.7109375" style="54" customWidth="1"/>
    <col min="22" max="22" width="9.28515625" style="85" bestFit="1" customWidth="1"/>
    <col min="23" max="23" width="10.7109375" style="54" customWidth="1"/>
    <col min="24" max="24" width="10.7109375" style="85" customWidth="1"/>
    <col min="25" max="25" width="9.140625" style="85" bestFit="1"/>
    <col min="26" max="26" width="10" style="85" bestFit="1" customWidth="1"/>
    <col min="27" max="27" width="9.140625" style="54" bestFit="1"/>
    <col min="28" max="28" width="10.7109375" style="54" customWidth="1"/>
    <col min="29" max="29" width="11.85546875" style="85" customWidth="1"/>
    <col min="30" max="30" width="7" style="47" bestFit="1" customWidth="1"/>
    <col min="31" max="31" width="8.85546875" style="47" bestFit="1" customWidth="1"/>
    <col min="32" max="32" width="9" style="47" bestFit="1" customWidth="1"/>
    <col min="33" max="33" width="11.85546875" style="40" customWidth="1"/>
    <col min="34" max="34" width="11.85546875" style="31" customWidth="1"/>
    <col min="35" max="35" width="11.85546875" style="110" customWidth="1"/>
    <col min="36" max="37" width="11.85546875" style="10" customWidth="1"/>
    <col min="38" max="38" width="11.85546875" style="12" customWidth="1"/>
    <col min="39" max="39" width="6.140625" style="17" customWidth="1"/>
    <col min="40" max="41" width="11.7109375" style="10" customWidth="1"/>
    <col min="42" max="42" width="11.7109375" style="90" customWidth="1"/>
    <col min="43" max="44" width="9.7109375" style="12" customWidth="1"/>
    <col min="45" max="45" width="9.140625" style="90" bestFit="1"/>
    <col min="46" max="46" width="8" style="90" bestFit="1" customWidth="1"/>
    <col min="47" max="47" width="10.28515625" style="10" customWidth="1"/>
    <col min="48" max="48" width="10.5703125" style="10" customWidth="1"/>
    <col min="49" max="49" width="12.140625" style="10" customWidth="1"/>
    <col min="50" max="53" width="11.85546875" style="15" customWidth="1"/>
    <col min="54" max="54" width="11.85546875" style="113" customWidth="1"/>
    <col min="55" max="55" width="6.140625" style="17" customWidth="1"/>
    <col min="56" max="56" width="9.140625" style="10"/>
    <col min="57" max="57" width="7.7109375" style="10" customWidth="1"/>
    <col min="58" max="58" width="11.7109375" style="90" customWidth="1"/>
    <col min="59" max="63" width="11.7109375" style="12" customWidth="1"/>
    <col min="64" max="64" width="11.7109375" style="90" customWidth="1"/>
    <col min="65" max="16384" width="9.140625" style="10"/>
  </cols>
  <sheetData>
    <row r="1" spans="1:64" ht="24.75" customHeight="1" x14ac:dyDescent="0.25">
      <c r="B1" s="74" t="s">
        <v>22</v>
      </c>
      <c r="C1" s="75">
        <v>2013</v>
      </c>
      <c r="D1" s="331"/>
      <c r="E1" s="332"/>
      <c r="I1" s="88"/>
      <c r="J1" s="88"/>
      <c r="K1" s="96"/>
      <c r="L1" s="14"/>
      <c r="M1" s="45"/>
      <c r="N1" s="14"/>
      <c r="O1" s="14"/>
      <c r="P1" s="45"/>
      <c r="Q1" s="88"/>
      <c r="R1" s="14"/>
      <c r="S1" s="45"/>
      <c r="T1" s="88"/>
      <c r="U1" s="14"/>
      <c r="V1" s="105"/>
      <c r="W1" s="47"/>
      <c r="X1" s="100"/>
      <c r="Y1" s="101"/>
      <c r="Z1" s="103"/>
      <c r="AA1" s="31"/>
      <c r="AB1" s="30"/>
      <c r="AC1" s="89"/>
      <c r="AD1" s="10"/>
      <c r="AE1" s="16"/>
      <c r="AF1" s="15"/>
      <c r="AG1" s="15"/>
      <c r="AH1" s="10"/>
      <c r="AI1" s="106"/>
      <c r="AJ1" s="12"/>
      <c r="AK1" s="12"/>
      <c r="AL1" s="62"/>
      <c r="AM1" s="64"/>
      <c r="AN1" s="12"/>
      <c r="AP1" s="89"/>
      <c r="AQ1" s="15"/>
      <c r="AR1" s="15"/>
      <c r="AS1" s="113"/>
      <c r="AT1" s="117"/>
      <c r="AU1" s="15"/>
      <c r="AV1" s="15"/>
      <c r="AX1" s="23"/>
      <c r="BD1" s="12"/>
      <c r="BF1" s="89"/>
      <c r="BG1" s="10"/>
      <c r="BH1" s="10"/>
      <c r="BI1" s="10"/>
      <c r="BJ1" s="10"/>
      <c r="BK1" s="10"/>
      <c r="BL1" s="115">
        <f>($C$1-$B$126)*4+$C$2-1</f>
        <v>61</v>
      </c>
    </row>
    <row r="2" spans="1:64" ht="24.75" customHeight="1" thickBot="1" x14ac:dyDescent="0.3">
      <c r="B2" s="76" t="s">
        <v>23</v>
      </c>
      <c r="C2" s="77">
        <v>2</v>
      </c>
      <c r="D2" s="332"/>
      <c r="E2" s="332"/>
      <c r="G2" s="10"/>
      <c r="H2" s="10"/>
      <c r="I2" s="89"/>
      <c r="J2" s="89"/>
      <c r="K2" s="89"/>
      <c r="L2" s="10" t="str">
        <f ca="1">CELL("filename")</f>
        <v>S:\Policy Unit\Stats1\Press Notice\Next\Press notice NEW\Q1 2017\Publication Product\[Q1 2017 Tables.xlsx]Table 14</v>
      </c>
      <c r="M2" s="10"/>
      <c r="N2" s="10"/>
      <c r="O2" s="10"/>
      <c r="P2" s="10"/>
      <c r="Q2" s="89"/>
      <c r="R2" s="10"/>
      <c r="S2" s="10"/>
      <c r="T2" s="89"/>
      <c r="U2" s="10"/>
      <c r="V2" s="89"/>
      <c r="W2" s="10"/>
      <c r="X2" s="89"/>
      <c r="Y2" s="89"/>
      <c r="Z2" s="89"/>
      <c r="AA2" s="10"/>
      <c r="AB2" s="10"/>
      <c r="AC2" s="89"/>
      <c r="AD2" s="10"/>
      <c r="AE2" s="10"/>
      <c r="AF2" s="10"/>
      <c r="AG2" s="16"/>
      <c r="AH2" s="10"/>
      <c r="AI2" s="89"/>
      <c r="AJ2" s="12"/>
      <c r="AL2" s="10"/>
      <c r="AN2" s="12"/>
      <c r="AP2" s="89"/>
      <c r="AQ2" s="10"/>
      <c r="AR2" s="10"/>
      <c r="AS2" s="89"/>
      <c r="AT2" s="89"/>
      <c r="BD2" s="12"/>
      <c r="BF2" s="89"/>
      <c r="BG2" s="10"/>
      <c r="BH2" s="10"/>
      <c r="BI2" s="10"/>
      <c r="BJ2" s="10"/>
      <c r="BK2" s="10"/>
      <c r="BL2" s="89"/>
    </row>
    <row r="3" spans="1:64" ht="15.75" x14ac:dyDescent="0.25">
      <c r="C3" s="10" t="str">
        <f>C1&amp;"Q"&amp;C2</f>
        <v>2013Q2</v>
      </c>
      <c r="D3" s="330" t="s">
        <v>20</v>
      </c>
      <c r="E3" s="330"/>
      <c r="F3" s="330"/>
      <c r="G3" s="330"/>
      <c r="H3" s="330"/>
      <c r="I3" s="330"/>
      <c r="J3" s="330"/>
      <c r="K3" s="330"/>
      <c r="L3" s="330"/>
      <c r="M3" s="330"/>
      <c r="N3" s="330"/>
      <c r="O3" s="330"/>
      <c r="P3" s="330"/>
      <c r="Q3" s="330"/>
      <c r="R3" s="330"/>
      <c r="S3" s="330"/>
      <c r="T3" s="330"/>
      <c r="U3" s="330"/>
      <c r="V3" s="330"/>
      <c r="W3" s="330"/>
      <c r="X3" s="330"/>
      <c r="Y3" s="330"/>
      <c r="Z3" s="330"/>
      <c r="AA3" s="330"/>
      <c r="AB3" s="330"/>
      <c r="AC3" s="330"/>
      <c r="AD3" s="330"/>
      <c r="AE3" s="330"/>
      <c r="AF3" s="330"/>
      <c r="AG3" s="330"/>
      <c r="AH3" s="330"/>
      <c r="AI3" s="330"/>
      <c r="AJ3" s="330"/>
      <c r="AK3" s="330"/>
      <c r="AL3" s="327"/>
      <c r="AN3" s="325" t="s">
        <v>19</v>
      </c>
      <c r="AO3" s="326"/>
      <c r="AP3" s="326"/>
      <c r="AQ3" s="326"/>
      <c r="AR3" s="326"/>
      <c r="AS3" s="326"/>
      <c r="AT3" s="326"/>
      <c r="AU3" s="326"/>
      <c r="AV3" s="326"/>
      <c r="AW3" s="326"/>
      <c r="AX3" s="326"/>
      <c r="AY3" s="326"/>
      <c r="AZ3" s="326"/>
      <c r="BA3" s="326"/>
      <c r="BB3" s="327"/>
      <c r="BD3" s="328" t="s">
        <v>21</v>
      </c>
      <c r="BE3" s="329"/>
      <c r="BF3" s="329"/>
      <c r="BG3" s="329"/>
      <c r="BH3" s="329"/>
      <c r="BI3" s="329"/>
      <c r="BJ3" s="329"/>
      <c r="BK3" s="329"/>
      <c r="BL3" s="329"/>
    </row>
    <row r="4" spans="1:64" ht="12.75" customHeight="1" x14ac:dyDescent="0.2">
      <c r="C4" s="10"/>
      <c r="D4" s="126" t="s">
        <v>109</v>
      </c>
      <c r="E4" s="126" t="s">
        <v>110</v>
      </c>
      <c r="F4" s="126"/>
      <c r="G4" s="12" t="s">
        <v>110</v>
      </c>
      <c r="H4" s="12" t="s">
        <v>110</v>
      </c>
      <c r="I4" s="90"/>
      <c r="J4" s="90"/>
      <c r="K4" s="90"/>
      <c r="L4" s="12" t="s">
        <v>110</v>
      </c>
      <c r="M4" s="12" t="s">
        <v>110</v>
      </c>
      <c r="N4" s="12" t="s">
        <v>110</v>
      </c>
      <c r="O4" s="12" t="s">
        <v>110</v>
      </c>
      <c r="P4" s="12" t="s">
        <v>110</v>
      </c>
      <c r="Q4" s="90"/>
      <c r="R4" s="12" t="s">
        <v>115</v>
      </c>
      <c r="S4" s="12" t="s">
        <v>109</v>
      </c>
      <c r="T4" s="90"/>
      <c r="U4" s="12" t="s">
        <v>109</v>
      </c>
      <c r="V4" s="90"/>
      <c r="W4" s="12" t="s">
        <v>109</v>
      </c>
      <c r="X4" s="90"/>
      <c r="Y4" s="90"/>
      <c r="Z4" s="90"/>
      <c r="AA4" s="12" t="s">
        <v>111</v>
      </c>
      <c r="AB4" s="12"/>
      <c r="AC4" s="90"/>
      <c r="AD4" s="129" t="s">
        <v>112</v>
      </c>
      <c r="AE4" s="130"/>
      <c r="AF4" s="126"/>
      <c r="AG4" s="127" t="s">
        <v>12</v>
      </c>
      <c r="AH4" s="127"/>
      <c r="AI4" s="127"/>
      <c r="AJ4" s="127"/>
      <c r="AK4" s="127"/>
      <c r="AL4" s="128"/>
      <c r="AN4" s="10" t="s">
        <v>110</v>
      </c>
      <c r="AO4" s="10" t="s">
        <v>110</v>
      </c>
      <c r="AP4" s="89"/>
      <c r="AQ4" s="10" t="s">
        <v>110</v>
      </c>
      <c r="AR4" s="10" t="s">
        <v>110</v>
      </c>
      <c r="AS4" s="89"/>
      <c r="AT4" s="89"/>
      <c r="AU4" s="10" t="s">
        <v>110</v>
      </c>
      <c r="AV4" s="10" t="s">
        <v>110</v>
      </c>
      <c r="AW4" s="10" t="s">
        <v>110</v>
      </c>
      <c r="AX4" s="15" t="s">
        <v>110</v>
      </c>
      <c r="AY4" s="15" t="s">
        <v>113</v>
      </c>
      <c r="AZ4" s="15" t="s">
        <v>113</v>
      </c>
      <c r="BA4" s="15" t="s">
        <v>113</v>
      </c>
      <c r="BC4" s="18"/>
      <c r="BD4" s="10" t="s">
        <v>114</v>
      </c>
      <c r="BE4" s="10" t="s">
        <v>110</v>
      </c>
      <c r="BF4" s="89"/>
      <c r="BG4" s="10" t="s">
        <v>110</v>
      </c>
      <c r="BH4" s="10" t="s">
        <v>110</v>
      </c>
      <c r="BI4" s="10" t="s">
        <v>114</v>
      </c>
      <c r="BJ4" s="10" t="s">
        <v>114</v>
      </c>
      <c r="BK4" s="10" t="s">
        <v>114</v>
      </c>
      <c r="BL4" s="89"/>
    </row>
    <row r="5" spans="1:64" s="55" customFormat="1" ht="33.75" x14ac:dyDescent="0.2">
      <c r="A5" s="55" t="s">
        <v>94</v>
      </c>
      <c r="B5" s="55" t="s">
        <v>22</v>
      </c>
      <c r="C5" s="55" t="s">
        <v>65</v>
      </c>
      <c r="D5" s="56" t="s">
        <v>7</v>
      </c>
      <c r="E5" s="56" t="s">
        <v>8</v>
      </c>
      <c r="F5" s="86" t="s">
        <v>6</v>
      </c>
      <c r="G5" s="56" t="s">
        <v>36</v>
      </c>
      <c r="H5" s="56" t="s">
        <v>37</v>
      </c>
      <c r="I5" s="91" t="s">
        <v>38</v>
      </c>
      <c r="J5" s="91" t="s">
        <v>59</v>
      </c>
      <c r="K5" s="91" t="s">
        <v>60</v>
      </c>
      <c r="L5" s="55" t="s">
        <v>40</v>
      </c>
      <c r="M5" s="55" t="s">
        <v>41</v>
      </c>
      <c r="N5" s="55" t="s">
        <v>39</v>
      </c>
      <c r="O5" s="55" t="s">
        <v>70</v>
      </c>
      <c r="P5" s="58" t="s">
        <v>34</v>
      </c>
      <c r="Q5" s="97" t="s">
        <v>10</v>
      </c>
      <c r="R5" s="55" t="s">
        <v>87</v>
      </c>
      <c r="S5" s="56" t="s">
        <v>43</v>
      </c>
      <c r="T5" s="91" t="s">
        <v>52</v>
      </c>
      <c r="U5" s="56" t="s">
        <v>13</v>
      </c>
      <c r="V5" s="91" t="s">
        <v>28</v>
      </c>
      <c r="W5" s="56" t="s">
        <v>45</v>
      </c>
      <c r="X5" s="91" t="s">
        <v>53</v>
      </c>
      <c r="Y5" s="91" t="s">
        <v>46</v>
      </c>
      <c r="Z5" s="91" t="s">
        <v>54</v>
      </c>
      <c r="AA5" s="55" t="s">
        <v>32</v>
      </c>
      <c r="AB5" s="56" t="s">
        <v>42</v>
      </c>
      <c r="AC5" s="104" t="s">
        <v>14</v>
      </c>
      <c r="AD5" s="55" t="s">
        <v>17</v>
      </c>
      <c r="AE5" s="55" t="s">
        <v>18</v>
      </c>
      <c r="AF5" s="57" t="s">
        <v>44</v>
      </c>
      <c r="AG5" s="36" t="s">
        <v>7</v>
      </c>
      <c r="AH5" s="32" t="s">
        <v>33</v>
      </c>
      <c r="AI5" s="107" t="s">
        <v>6</v>
      </c>
      <c r="AJ5" s="59" t="s">
        <v>9</v>
      </c>
      <c r="AK5" s="32" t="s">
        <v>35</v>
      </c>
      <c r="AL5" s="60" t="s">
        <v>14</v>
      </c>
      <c r="AM5" s="61"/>
      <c r="AN5" s="55" t="s">
        <v>7</v>
      </c>
      <c r="AO5" s="55" t="s">
        <v>33</v>
      </c>
      <c r="AP5" s="104" t="s">
        <v>6</v>
      </c>
      <c r="AQ5" s="55" t="s">
        <v>57</v>
      </c>
      <c r="AR5" s="55" t="s">
        <v>58</v>
      </c>
      <c r="AS5" s="91" t="s">
        <v>59</v>
      </c>
      <c r="AT5" s="91" t="s">
        <v>60</v>
      </c>
      <c r="AU5" s="55" t="s">
        <v>40</v>
      </c>
      <c r="AV5" s="55" t="s">
        <v>41</v>
      </c>
      <c r="AW5" s="55" t="s">
        <v>39</v>
      </c>
      <c r="AX5" s="58" t="s">
        <v>34</v>
      </c>
      <c r="AY5" s="58" t="s">
        <v>15</v>
      </c>
      <c r="AZ5" s="58" t="s">
        <v>71</v>
      </c>
      <c r="BA5" s="55" t="s">
        <v>16</v>
      </c>
      <c r="BB5" s="104" t="s">
        <v>14</v>
      </c>
      <c r="BC5" s="61"/>
      <c r="BD5" s="56" t="s">
        <v>7</v>
      </c>
      <c r="BE5" s="56" t="s">
        <v>33</v>
      </c>
      <c r="BF5" s="86" t="s">
        <v>6</v>
      </c>
      <c r="BG5" s="55" t="s">
        <v>57</v>
      </c>
      <c r="BH5" s="55" t="s">
        <v>58</v>
      </c>
      <c r="BI5" s="55" t="s">
        <v>10</v>
      </c>
      <c r="BJ5" s="55" t="s">
        <v>32</v>
      </c>
      <c r="BK5" s="55" t="s">
        <v>88</v>
      </c>
      <c r="BL5" s="104" t="s">
        <v>14</v>
      </c>
    </row>
    <row r="6" spans="1:64" s="13" customFormat="1" x14ac:dyDescent="0.2">
      <c r="A6" s="13" t="str">
        <f t="shared" ref="A6:A69" si="0">B6&amp;C6</f>
        <v>1968Q1</v>
      </c>
      <c r="B6" s="11">
        <v>1968</v>
      </c>
      <c r="C6" s="63" t="s">
        <v>1</v>
      </c>
      <c r="D6" s="43">
        <v>307</v>
      </c>
      <c r="E6" s="43">
        <v>590</v>
      </c>
      <c r="F6" s="87">
        <f t="shared" ref="F6:F69" si="1">D6+E6</f>
        <v>897</v>
      </c>
      <c r="G6" s="42" t="s">
        <v>66</v>
      </c>
      <c r="H6" s="42" t="s">
        <v>66</v>
      </c>
      <c r="I6" s="92" t="s">
        <v>66</v>
      </c>
      <c r="J6" s="92" t="s">
        <v>66</v>
      </c>
      <c r="K6" s="92" t="s">
        <v>66</v>
      </c>
      <c r="L6" s="42" t="s">
        <v>66</v>
      </c>
      <c r="M6" s="42" t="s">
        <v>66</v>
      </c>
      <c r="N6" s="42" t="s">
        <v>67</v>
      </c>
      <c r="O6" s="42" t="s">
        <v>67</v>
      </c>
      <c r="P6" s="42" t="s">
        <v>66</v>
      </c>
      <c r="Q6" s="98">
        <v>1190</v>
      </c>
      <c r="R6" s="42" t="s">
        <v>67</v>
      </c>
      <c r="S6" s="42" t="s">
        <v>66</v>
      </c>
      <c r="T6" s="92" t="s">
        <v>66</v>
      </c>
      <c r="U6" s="42" t="s">
        <v>66</v>
      </c>
      <c r="V6" s="92" t="s">
        <v>66</v>
      </c>
      <c r="W6" s="42" t="s">
        <v>66</v>
      </c>
      <c r="X6" s="92" t="s">
        <v>66</v>
      </c>
      <c r="Y6" s="92" t="s">
        <v>66</v>
      </c>
      <c r="Z6" s="92" t="s">
        <v>66</v>
      </c>
      <c r="AA6" s="48" t="s">
        <v>67</v>
      </c>
      <c r="AB6" s="52">
        <v>41</v>
      </c>
      <c r="AC6" s="105">
        <f t="shared" ref="AC6:AC37" si="2">IF(AA6=":",Q6+AB6,Q6+AA6+AB6)</f>
        <v>1231</v>
      </c>
      <c r="AD6" s="42" t="s">
        <v>66</v>
      </c>
      <c r="AE6" s="48" t="s">
        <v>67</v>
      </c>
      <c r="AF6" s="49" t="str">
        <f t="shared" ref="AF6:AF37" si="3">IF(AE6=":",AD6,AD6+AE6)</f>
        <v>..</v>
      </c>
      <c r="AG6" s="36"/>
      <c r="AH6" s="32"/>
      <c r="AI6" s="108"/>
      <c r="AJ6" s="28"/>
      <c r="AK6" s="25"/>
      <c r="AL6" s="29"/>
      <c r="AM6" s="21"/>
      <c r="AN6" s="19" t="s">
        <v>66</v>
      </c>
      <c r="AO6" s="19" t="s">
        <v>66</v>
      </c>
      <c r="AP6" s="111" t="s">
        <v>66</v>
      </c>
      <c r="AQ6" s="19" t="s">
        <v>66</v>
      </c>
      <c r="AR6" s="19" t="s">
        <v>66</v>
      </c>
      <c r="AS6" s="112" t="s">
        <v>31</v>
      </c>
      <c r="AT6" s="112" t="s">
        <v>31</v>
      </c>
      <c r="AU6" s="19" t="s">
        <v>66</v>
      </c>
      <c r="AV6" s="19" t="s">
        <v>66</v>
      </c>
      <c r="AW6" s="19" t="s">
        <v>67</v>
      </c>
      <c r="AX6" s="19" t="s">
        <v>66</v>
      </c>
      <c r="AY6" s="19" t="s">
        <v>66</v>
      </c>
      <c r="AZ6" s="22" t="s">
        <v>67</v>
      </c>
      <c r="BA6" s="19" t="s">
        <v>67</v>
      </c>
      <c r="BB6" s="106" t="str">
        <f t="shared" ref="BB6:BB69" si="4">IF(BA6=":",AY6,AY6+BA6)</f>
        <v>..</v>
      </c>
      <c r="BC6" s="21"/>
      <c r="BD6" s="70" t="s">
        <v>66</v>
      </c>
      <c r="BE6" s="70" t="s">
        <v>66</v>
      </c>
      <c r="BF6" s="114" t="str">
        <f t="shared" ref="BF6:BF69" si="5">IF(BE6="..","..",BD6+BE6)</f>
        <v>..</v>
      </c>
      <c r="BG6" s="73"/>
      <c r="BH6" s="73"/>
      <c r="BI6" s="71" t="s">
        <v>66</v>
      </c>
      <c r="BJ6" s="71" t="s">
        <v>66</v>
      </c>
      <c r="BK6" s="71" t="s">
        <v>66</v>
      </c>
      <c r="BL6" s="116" t="s">
        <v>66</v>
      </c>
    </row>
    <row r="7" spans="1:64" s="13" customFormat="1" x14ac:dyDescent="0.2">
      <c r="A7" s="13" t="str">
        <f t="shared" si="0"/>
        <v>1968Q2</v>
      </c>
      <c r="B7" s="11">
        <f>B6</f>
        <v>1968</v>
      </c>
      <c r="C7" s="11" t="s">
        <v>2</v>
      </c>
      <c r="D7" s="43">
        <v>279</v>
      </c>
      <c r="E7" s="43">
        <v>496</v>
      </c>
      <c r="F7" s="87">
        <f t="shared" si="1"/>
        <v>775</v>
      </c>
      <c r="G7" s="42" t="s">
        <v>66</v>
      </c>
      <c r="H7" s="42" t="s">
        <v>66</v>
      </c>
      <c r="I7" s="92" t="s">
        <v>66</v>
      </c>
      <c r="J7" s="92" t="s">
        <v>66</v>
      </c>
      <c r="K7" s="92" t="s">
        <v>66</v>
      </c>
      <c r="L7" s="42" t="s">
        <v>66</v>
      </c>
      <c r="M7" s="42" t="s">
        <v>66</v>
      </c>
      <c r="N7" s="42" t="s">
        <v>67</v>
      </c>
      <c r="O7" s="42" t="s">
        <v>67</v>
      </c>
      <c r="P7" s="42" t="s">
        <v>66</v>
      </c>
      <c r="Q7" s="98">
        <v>985</v>
      </c>
      <c r="R7" s="42" t="s">
        <v>67</v>
      </c>
      <c r="S7" s="42" t="s">
        <v>66</v>
      </c>
      <c r="T7" s="92" t="s">
        <v>66</v>
      </c>
      <c r="U7" s="42" t="s">
        <v>66</v>
      </c>
      <c r="V7" s="92" t="s">
        <v>66</v>
      </c>
      <c r="W7" s="42" t="s">
        <v>66</v>
      </c>
      <c r="X7" s="92" t="s">
        <v>66</v>
      </c>
      <c r="Y7" s="92" t="s">
        <v>66</v>
      </c>
      <c r="Z7" s="92" t="s">
        <v>66</v>
      </c>
      <c r="AA7" s="48" t="s">
        <v>67</v>
      </c>
      <c r="AB7" s="52">
        <v>39</v>
      </c>
      <c r="AC7" s="105">
        <f t="shared" si="2"/>
        <v>1024</v>
      </c>
      <c r="AD7" s="42" t="s">
        <v>66</v>
      </c>
      <c r="AE7" s="48" t="s">
        <v>67</v>
      </c>
      <c r="AF7" s="49" t="str">
        <f t="shared" si="3"/>
        <v>..</v>
      </c>
      <c r="AG7" s="36"/>
      <c r="AH7" s="32"/>
      <c r="AI7" s="108"/>
      <c r="AJ7" s="28"/>
      <c r="AK7" s="25"/>
      <c r="AL7" s="29"/>
      <c r="AM7" s="21"/>
      <c r="AN7" s="19" t="s">
        <v>66</v>
      </c>
      <c r="AO7" s="19" t="s">
        <v>66</v>
      </c>
      <c r="AP7" s="111" t="s">
        <v>66</v>
      </c>
      <c r="AQ7" s="19" t="s">
        <v>66</v>
      </c>
      <c r="AR7" s="19" t="s">
        <v>66</v>
      </c>
      <c r="AS7" s="112" t="s">
        <v>31</v>
      </c>
      <c r="AT7" s="112" t="s">
        <v>31</v>
      </c>
      <c r="AU7" s="19" t="s">
        <v>66</v>
      </c>
      <c r="AV7" s="19" t="s">
        <v>66</v>
      </c>
      <c r="AW7" s="19" t="s">
        <v>67</v>
      </c>
      <c r="AX7" s="19" t="s">
        <v>66</v>
      </c>
      <c r="AY7" s="19" t="s">
        <v>66</v>
      </c>
      <c r="AZ7" s="22" t="s">
        <v>67</v>
      </c>
      <c r="BA7" s="19" t="s">
        <v>67</v>
      </c>
      <c r="BB7" s="106" t="str">
        <f t="shared" si="4"/>
        <v>..</v>
      </c>
      <c r="BC7" s="21"/>
      <c r="BD7" s="70" t="s">
        <v>66</v>
      </c>
      <c r="BE7" s="70" t="s">
        <v>66</v>
      </c>
      <c r="BF7" s="114" t="str">
        <f t="shared" si="5"/>
        <v>..</v>
      </c>
      <c r="BG7" s="73"/>
      <c r="BH7" s="73"/>
      <c r="BI7" s="71" t="s">
        <v>66</v>
      </c>
      <c r="BJ7" s="71" t="s">
        <v>66</v>
      </c>
      <c r="BK7" s="71" t="s">
        <v>66</v>
      </c>
      <c r="BL7" s="116" t="s">
        <v>66</v>
      </c>
    </row>
    <row r="8" spans="1:64" s="13" customFormat="1" x14ac:dyDescent="0.2">
      <c r="A8" s="13" t="str">
        <f t="shared" si="0"/>
        <v>1968Q3</v>
      </c>
      <c r="B8" s="11">
        <f>B7</f>
        <v>1968</v>
      </c>
      <c r="C8" s="11" t="s">
        <v>3</v>
      </c>
      <c r="D8" s="43">
        <v>148</v>
      </c>
      <c r="E8" s="43">
        <v>438</v>
      </c>
      <c r="F8" s="87">
        <f t="shared" si="1"/>
        <v>586</v>
      </c>
      <c r="G8" s="42" t="s">
        <v>66</v>
      </c>
      <c r="H8" s="42" t="s">
        <v>66</v>
      </c>
      <c r="I8" s="92" t="s">
        <v>66</v>
      </c>
      <c r="J8" s="92" t="s">
        <v>66</v>
      </c>
      <c r="K8" s="92" t="s">
        <v>66</v>
      </c>
      <c r="L8" s="42" t="s">
        <v>66</v>
      </c>
      <c r="M8" s="42" t="s">
        <v>66</v>
      </c>
      <c r="N8" s="42" t="s">
        <v>67</v>
      </c>
      <c r="O8" s="42" t="s">
        <v>67</v>
      </c>
      <c r="P8" s="42" t="s">
        <v>66</v>
      </c>
      <c r="Q8" s="98">
        <v>907</v>
      </c>
      <c r="R8" s="42" t="s">
        <v>67</v>
      </c>
      <c r="S8" s="42" t="s">
        <v>66</v>
      </c>
      <c r="T8" s="92" t="s">
        <v>66</v>
      </c>
      <c r="U8" s="42" t="s">
        <v>66</v>
      </c>
      <c r="V8" s="92" t="s">
        <v>66</v>
      </c>
      <c r="W8" s="42" t="s">
        <v>66</v>
      </c>
      <c r="X8" s="92" t="s">
        <v>66</v>
      </c>
      <c r="Y8" s="92" t="s">
        <v>66</v>
      </c>
      <c r="Z8" s="92" t="s">
        <v>66</v>
      </c>
      <c r="AA8" s="48" t="s">
        <v>67</v>
      </c>
      <c r="AB8" s="52">
        <v>25</v>
      </c>
      <c r="AC8" s="105">
        <f t="shared" si="2"/>
        <v>932</v>
      </c>
      <c r="AD8" s="42" t="s">
        <v>66</v>
      </c>
      <c r="AE8" s="48" t="s">
        <v>67</v>
      </c>
      <c r="AF8" s="49" t="str">
        <f t="shared" si="3"/>
        <v>..</v>
      </c>
      <c r="AG8" s="36"/>
      <c r="AH8" s="32"/>
      <c r="AI8" s="108"/>
      <c r="AJ8" s="28"/>
      <c r="AK8" s="25"/>
      <c r="AL8" s="29"/>
      <c r="AM8" s="21"/>
      <c r="AN8" s="19" t="s">
        <v>66</v>
      </c>
      <c r="AO8" s="19" t="s">
        <v>66</v>
      </c>
      <c r="AP8" s="111" t="s">
        <v>66</v>
      </c>
      <c r="AQ8" s="19" t="s">
        <v>66</v>
      </c>
      <c r="AR8" s="19" t="s">
        <v>66</v>
      </c>
      <c r="AS8" s="112" t="s">
        <v>31</v>
      </c>
      <c r="AT8" s="112" t="s">
        <v>31</v>
      </c>
      <c r="AU8" s="19" t="s">
        <v>66</v>
      </c>
      <c r="AV8" s="19" t="s">
        <v>66</v>
      </c>
      <c r="AW8" s="19" t="s">
        <v>67</v>
      </c>
      <c r="AX8" s="19" t="s">
        <v>66</v>
      </c>
      <c r="AY8" s="19" t="s">
        <v>66</v>
      </c>
      <c r="AZ8" s="22" t="s">
        <v>67</v>
      </c>
      <c r="BA8" s="19" t="s">
        <v>67</v>
      </c>
      <c r="BB8" s="106" t="str">
        <f t="shared" si="4"/>
        <v>..</v>
      </c>
      <c r="BC8" s="21"/>
      <c r="BD8" s="70" t="s">
        <v>66</v>
      </c>
      <c r="BE8" s="70" t="s">
        <v>66</v>
      </c>
      <c r="BF8" s="114" t="str">
        <f t="shared" si="5"/>
        <v>..</v>
      </c>
      <c r="BG8" s="73"/>
      <c r="BH8" s="73"/>
      <c r="BI8" s="71" t="s">
        <v>66</v>
      </c>
      <c r="BJ8" s="71" t="s">
        <v>66</v>
      </c>
      <c r="BK8" s="71" t="s">
        <v>66</v>
      </c>
      <c r="BL8" s="116" t="s">
        <v>66</v>
      </c>
    </row>
    <row r="9" spans="1:64" s="13" customFormat="1" x14ac:dyDescent="0.2">
      <c r="A9" s="13" t="str">
        <f t="shared" si="0"/>
        <v>1968Q4</v>
      </c>
      <c r="B9" s="11">
        <f>B8</f>
        <v>1968</v>
      </c>
      <c r="C9" s="11" t="s">
        <v>4</v>
      </c>
      <c r="D9" s="43">
        <v>374</v>
      </c>
      <c r="E9" s="43">
        <v>533</v>
      </c>
      <c r="F9" s="87">
        <f t="shared" si="1"/>
        <v>907</v>
      </c>
      <c r="G9" s="42" t="s">
        <v>66</v>
      </c>
      <c r="H9" s="42" t="s">
        <v>66</v>
      </c>
      <c r="I9" s="92" t="s">
        <v>66</v>
      </c>
      <c r="J9" s="92" t="s">
        <v>66</v>
      </c>
      <c r="K9" s="92" t="s">
        <v>66</v>
      </c>
      <c r="L9" s="42" t="s">
        <v>66</v>
      </c>
      <c r="M9" s="42" t="s">
        <v>66</v>
      </c>
      <c r="N9" s="42" t="s">
        <v>67</v>
      </c>
      <c r="O9" s="42" t="s">
        <v>67</v>
      </c>
      <c r="P9" s="42" t="s">
        <v>66</v>
      </c>
      <c r="Q9" s="98">
        <v>1068</v>
      </c>
      <c r="R9" s="42" t="s">
        <v>67</v>
      </c>
      <c r="S9" s="42" t="s">
        <v>66</v>
      </c>
      <c r="T9" s="92" t="s">
        <v>66</v>
      </c>
      <c r="U9" s="42" t="s">
        <v>66</v>
      </c>
      <c r="V9" s="92" t="s">
        <v>66</v>
      </c>
      <c r="W9" s="42" t="s">
        <v>66</v>
      </c>
      <c r="X9" s="92" t="s">
        <v>66</v>
      </c>
      <c r="Y9" s="92" t="s">
        <v>66</v>
      </c>
      <c r="Z9" s="92" t="s">
        <v>66</v>
      </c>
      <c r="AA9" s="48" t="s">
        <v>67</v>
      </c>
      <c r="AB9" s="52">
        <v>43</v>
      </c>
      <c r="AC9" s="105">
        <f t="shared" si="2"/>
        <v>1111</v>
      </c>
      <c r="AD9" s="42" t="s">
        <v>66</v>
      </c>
      <c r="AE9" s="48" t="s">
        <v>67</v>
      </c>
      <c r="AF9" s="49" t="str">
        <f t="shared" si="3"/>
        <v>..</v>
      </c>
      <c r="AG9" s="36"/>
      <c r="AH9" s="32"/>
      <c r="AI9" s="108"/>
      <c r="AJ9" s="28"/>
      <c r="AK9" s="25"/>
      <c r="AL9" s="29"/>
      <c r="AM9" s="21"/>
      <c r="AN9" s="19" t="s">
        <v>66</v>
      </c>
      <c r="AO9" s="19" t="s">
        <v>66</v>
      </c>
      <c r="AP9" s="111" t="s">
        <v>66</v>
      </c>
      <c r="AQ9" s="19" t="s">
        <v>66</v>
      </c>
      <c r="AR9" s="19" t="s">
        <v>66</v>
      </c>
      <c r="AS9" s="112" t="s">
        <v>31</v>
      </c>
      <c r="AT9" s="112" t="s">
        <v>31</v>
      </c>
      <c r="AU9" s="19" t="s">
        <v>66</v>
      </c>
      <c r="AV9" s="19" t="s">
        <v>66</v>
      </c>
      <c r="AW9" s="19" t="s">
        <v>67</v>
      </c>
      <c r="AX9" s="19" t="s">
        <v>66</v>
      </c>
      <c r="AY9" s="19" t="s">
        <v>66</v>
      </c>
      <c r="AZ9" s="22" t="s">
        <v>67</v>
      </c>
      <c r="BA9" s="19" t="s">
        <v>67</v>
      </c>
      <c r="BB9" s="106" t="str">
        <f t="shared" si="4"/>
        <v>..</v>
      </c>
      <c r="BC9" s="21"/>
      <c r="BD9" s="70" t="s">
        <v>66</v>
      </c>
      <c r="BE9" s="70" t="s">
        <v>66</v>
      </c>
      <c r="BF9" s="114" t="str">
        <f t="shared" si="5"/>
        <v>..</v>
      </c>
      <c r="BG9" s="73"/>
      <c r="BH9" s="73"/>
      <c r="BI9" s="71" t="s">
        <v>66</v>
      </c>
      <c r="BJ9" s="71" t="s">
        <v>66</v>
      </c>
      <c r="BK9" s="71" t="s">
        <v>66</v>
      </c>
      <c r="BL9" s="116" t="s">
        <v>66</v>
      </c>
    </row>
    <row r="10" spans="1:64" s="13" customFormat="1" x14ac:dyDescent="0.2">
      <c r="A10" s="13" t="str">
        <f t="shared" si="0"/>
        <v>1969Q1</v>
      </c>
      <c r="B10" s="11">
        <v>1969</v>
      </c>
      <c r="C10" s="63" t="s">
        <v>1</v>
      </c>
      <c r="D10" s="43">
        <v>318</v>
      </c>
      <c r="E10" s="43">
        <v>554</v>
      </c>
      <c r="F10" s="87">
        <f t="shared" si="1"/>
        <v>872</v>
      </c>
      <c r="G10" s="42" t="s">
        <v>66</v>
      </c>
      <c r="H10" s="42" t="s">
        <v>66</v>
      </c>
      <c r="I10" s="92" t="s">
        <v>66</v>
      </c>
      <c r="J10" s="92" t="s">
        <v>66</v>
      </c>
      <c r="K10" s="92" t="s">
        <v>66</v>
      </c>
      <c r="L10" s="42" t="s">
        <v>66</v>
      </c>
      <c r="M10" s="42" t="s">
        <v>66</v>
      </c>
      <c r="N10" s="42" t="s">
        <v>67</v>
      </c>
      <c r="O10" s="42" t="s">
        <v>67</v>
      </c>
      <c r="P10" s="42" t="s">
        <v>66</v>
      </c>
      <c r="Q10" s="98">
        <v>1173</v>
      </c>
      <c r="R10" s="42" t="s">
        <v>67</v>
      </c>
      <c r="S10" s="42" t="s">
        <v>66</v>
      </c>
      <c r="T10" s="92" t="s">
        <v>66</v>
      </c>
      <c r="U10" s="42" t="s">
        <v>66</v>
      </c>
      <c r="V10" s="92" t="s">
        <v>66</v>
      </c>
      <c r="W10" s="42" t="s">
        <v>66</v>
      </c>
      <c r="X10" s="92" t="s">
        <v>66</v>
      </c>
      <c r="Y10" s="92" t="s">
        <v>66</v>
      </c>
      <c r="Z10" s="92" t="s">
        <v>66</v>
      </c>
      <c r="AA10" s="48" t="s">
        <v>67</v>
      </c>
      <c r="AB10" s="52">
        <v>58</v>
      </c>
      <c r="AC10" s="105">
        <f t="shared" si="2"/>
        <v>1231</v>
      </c>
      <c r="AD10" s="42" t="s">
        <v>66</v>
      </c>
      <c r="AE10" s="48" t="s">
        <v>67</v>
      </c>
      <c r="AF10" s="49" t="str">
        <f t="shared" si="3"/>
        <v>..</v>
      </c>
      <c r="AG10" s="36"/>
      <c r="AH10" s="32"/>
      <c r="AI10" s="108"/>
      <c r="AJ10" s="28"/>
      <c r="AK10" s="25"/>
      <c r="AL10" s="29"/>
      <c r="AM10" s="21"/>
      <c r="AN10" s="19" t="s">
        <v>66</v>
      </c>
      <c r="AO10" s="19" t="s">
        <v>66</v>
      </c>
      <c r="AP10" s="111" t="s">
        <v>66</v>
      </c>
      <c r="AQ10" s="19" t="s">
        <v>66</v>
      </c>
      <c r="AR10" s="19" t="s">
        <v>66</v>
      </c>
      <c r="AS10" s="112" t="s">
        <v>31</v>
      </c>
      <c r="AT10" s="112" t="s">
        <v>31</v>
      </c>
      <c r="AU10" s="19" t="s">
        <v>66</v>
      </c>
      <c r="AV10" s="19" t="s">
        <v>66</v>
      </c>
      <c r="AW10" s="19" t="s">
        <v>67</v>
      </c>
      <c r="AX10" s="19" t="s">
        <v>66</v>
      </c>
      <c r="AY10" s="19" t="s">
        <v>66</v>
      </c>
      <c r="AZ10" s="22" t="s">
        <v>67</v>
      </c>
      <c r="BA10" s="19" t="s">
        <v>67</v>
      </c>
      <c r="BB10" s="106" t="str">
        <f t="shared" si="4"/>
        <v>..</v>
      </c>
      <c r="BC10" s="21"/>
      <c r="BD10" s="70" t="s">
        <v>66</v>
      </c>
      <c r="BE10" s="70" t="s">
        <v>66</v>
      </c>
      <c r="BF10" s="114" t="str">
        <f t="shared" si="5"/>
        <v>..</v>
      </c>
      <c r="BG10" s="73"/>
      <c r="BH10" s="73"/>
      <c r="BI10" s="71" t="s">
        <v>66</v>
      </c>
      <c r="BJ10" s="71" t="s">
        <v>66</v>
      </c>
      <c r="BK10" s="71" t="s">
        <v>66</v>
      </c>
      <c r="BL10" s="116" t="s">
        <v>66</v>
      </c>
    </row>
    <row r="11" spans="1:64" s="13" customFormat="1" x14ac:dyDescent="0.2">
      <c r="A11" s="13" t="str">
        <f t="shared" si="0"/>
        <v>1969Q2</v>
      </c>
      <c r="B11" s="11">
        <f>B10</f>
        <v>1969</v>
      </c>
      <c r="C11" s="11" t="s">
        <v>2</v>
      </c>
      <c r="D11" s="43">
        <v>308</v>
      </c>
      <c r="E11" s="43">
        <v>563</v>
      </c>
      <c r="F11" s="87">
        <f t="shared" si="1"/>
        <v>871</v>
      </c>
      <c r="G11" s="42" t="s">
        <v>66</v>
      </c>
      <c r="H11" s="42" t="s">
        <v>66</v>
      </c>
      <c r="I11" s="92" t="s">
        <v>66</v>
      </c>
      <c r="J11" s="92" t="s">
        <v>66</v>
      </c>
      <c r="K11" s="92" t="s">
        <v>66</v>
      </c>
      <c r="L11" s="42" t="s">
        <v>66</v>
      </c>
      <c r="M11" s="42" t="s">
        <v>66</v>
      </c>
      <c r="N11" s="42" t="s">
        <v>67</v>
      </c>
      <c r="O11" s="42" t="s">
        <v>67</v>
      </c>
      <c r="P11" s="42" t="s">
        <v>66</v>
      </c>
      <c r="Q11" s="98">
        <v>1055</v>
      </c>
      <c r="R11" s="42" t="s">
        <v>67</v>
      </c>
      <c r="S11" s="42" t="s">
        <v>66</v>
      </c>
      <c r="T11" s="92" t="s">
        <v>66</v>
      </c>
      <c r="U11" s="42" t="s">
        <v>66</v>
      </c>
      <c r="V11" s="92" t="s">
        <v>66</v>
      </c>
      <c r="W11" s="42" t="s">
        <v>66</v>
      </c>
      <c r="X11" s="92" t="s">
        <v>66</v>
      </c>
      <c r="Y11" s="92" t="s">
        <v>66</v>
      </c>
      <c r="Z11" s="92" t="s">
        <v>66</v>
      </c>
      <c r="AA11" s="48" t="s">
        <v>67</v>
      </c>
      <c r="AB11" s="52">
        <v>40</v>
      </c>
      <c r="AC11" s="105">
        <f t="shared" si="2"/>
        <v>1095</v>
      </c>
      <c r="AD11" s="42" t="s">
        <v>66</v>
      </c>
      <c r="AE11" s="48" t="s">
        <v>67</v>
      </c>
      <c r="AF11" s="49" t="str">
        <f t="shared" si="3"/>
        <v>..</v>
      </c>
      <c r="AG11" s="36"/>
      <c r="AH11" s="32"/>
      <c r="AI11" s="108"/>
      <c r="AJ11" s="28"/>
      <c r="AK11" s="25"/>
      <c r="AL11" s="29"/>
      <c r="AM11" s="21"/>
      <c r="AN11" s="19" t="s">
        <v>66</v>
      </c>
      <c r="AO11" s="19" t="s">
        <v>66</v>
      </c>
      <c r="AP11" s="111" t="s">
        <v>66</v>
      </c>
      <c r="AQ11" s="19" t="s">
        <v>66</v>
      </c>
      <c r="AR11" s="19" t="s">
        <v>66</v>
      </c>
      <c r="AS11" s="112" t="s">
        <v>31</v>
      </c>
      <c r="AT11" s="112" t="s">
        <v>31</v>
      </c>
      <c r="AU11" s="19" t="s">
        <v>66</v>
      </c>
      <c r="AV11" s="19" t="s">
        <v>66</v>
      </c>
      <c r="AW11" s="19" t="s">
        <v>67</v>
      </c>
      <c r="AX11" s="19" t="s">
        <v>66</v>
      </c>
      <c r="AY11" s="19" t="s">
        <v>66</v>
      </c>
      <c r="AZ11" s="22" t="s">
        <v>67</v>
      </c>
      <c r="BA11" s="19" t="s">
        <v>67</v>
      </c>
      <c r="BB11" s="106" t="str">
        <f t="shared" si="4"/>
        <v>..</v>
      </c>
      <c r="BC11" s="21"/>
      <c r="BD11" s="70" t="s">
        <v>66</v>
      </c>
      <c r="BE11" s="70" t="s">
        <v>66</v>
      </c>
      <c r="BF11" s="114" t="str">
        <f t="shared" si="5"/>
        <v>..</v>
      </c>
      <c r="BG11" s="73"/>
      <c r="BH11" s="73"/>
      <c r="BI11" s="71" t="s">
        <v>66</v>
      </c>
      <c r="BJ11" s="71" t="s">
        <v>66</v>
      </c>
      <c r="BK11" s="71" t="s">
        <v>66</v>
      </c>
      <c r="BL11" s="116" t="s">
        <v>66</v>
      </c>
    </row>
    <row r="12" spans="1:64" s="13" customFormat="1" x14ac:dyDescent="0.2">
      <c r="A12" s="13" t="str">
        <f t="shared" si="0"/>
        <v>1969Q3</v>
      </c>
      <c r="B12" s="11">
        <f>B11</f>
        <v>1969</v>
      </c>
      <c r="C12" s="11" t="s">
        <v>3</v>
      </c>
      <c r="D12" s="43">
        <v>171</v>
      </c>
      <c r="E12" s="43">
        <v>627</v>
      </c>
      <c r="F12" s="87">
        <f t="shared" si="1"/>
        <v>798</v>
      </c>
      <c r="G12" s="42" t="s">
        <v>66</v>
      </c>
      <c r="H12" s="42" t="s">
        <v>66</v>
      </c>
      <c r="I12" s="92" t="s">
        <v>66</v>
      </c>
      <c r="J12" s="92" t="s">
        <v>66</v>
      </c>
      <c r="K12" s="92" t="s">
        <v>66</v>
      </c>
      <c r="L12" s="42" t="s">
        <v>66</v>
      </c>
      <c r="M12" s="42" t="s">
        <v>66</v>
      </c>
      <c r="N12" s="42" t="s">
        <v>67</v>
      </c>
      <c r="O12" s="42" t="s">
        <v>67</v>
      </c>
      <c r="P12" s="42" t="s">
        <v>66</v>
      </c>
      <c r="Q12" s="98">
        <v>1157</v>
      </c>
      <c r="R12" s="42" t="s">
        <v>67</v>
      </c>
      <c r="S12" s="42" t="s">
        <v>66</v>
      </c>
      <c r="T12" s="92" t="s">
        <v>66</v>
      </c>
      <c r="U12" s="42" t="s">
        <v>66</v>
      </c>
      <c r="V12" s="92" t="s">
        <v>66</v>
      </c>
      <c r="W12" s="42" t="s">
        <v>66</v>
      </c>
      <c r="X12" s="92" t="s">
        <v>66</v>
      </c>
      <c r="Y12" s="92" t="s">
        <v>66</v>
      </c>
      <c r="Z12" s="92" t="s">
        <v>66</v>
      </c>
      <c r="AA12" s="48" t="s">
        <v>67</v>
      </c>
      <c r="AB12" s="52">
        <v>58</v>
      </c>
      <c r="AC12" s="105">
        <f t="shared" si="2"/>
        <v>1215</v>
      </c>
      <c r="AD12" s="42" t="s">
        <v>66</v>
      </c>
      <c r="AE12" s="48" t="s">
        <v>67</v>
      </c>
      <c r="AF12" s="49" t="str">
        <f t="shared" si="3"/>
        <v>..</v>
      </c>
      <c r="AG12" s="36"/>
      <c r="AH12" s="32"/>
      <c r="AI12" s="108"/>
      <c r="AJ12" s="28"/>
      <c r="AK12" s="25"/>
      <c r="AL12" s="29"/>
      <c r="AM12" s="21"/>
      <c r="AN12" s="19" t="s">
        <v>66</v>
      </c>
      <c r="AO12" s="19" t="s">
        <v>66</v>
      </c>
      <c r="AP12" s="111" t="s">
        <v>66</v>
      </c>
      <c r="AQ12" s="19" t="s">
        <v>66</v>
      </c>
      <c r="AR12" s="19" t="s">
        <v>66</v>
      </c>
      <c r="AS12" s="112" t="s">
        <v>31</v>
      </c>
      <c r="AT12" s="112" t="s">
        <v>31</v>
      </c>
      <c r="AU12" s="19" t="s">
        <v>66</v>
      </c>
      <c r="AV12" s="19" t="s">
        <v>66</v>
      </c>
      <c r="AW12" s="19" t="s">
        <v>67</v>
      </c>
      <c r="AX12" s="19" t="s">
        <v>66</v>
      </c>
      <c r="AY12" s="19" t="s">
        <v>66</v>
      </c>
      <c r="AZ12" s="22" t="s">
        <v>67</v>
      </c>
      <c r="BA12" s="19" t="s">
        <v>67</v>
      </c>
      <c r="BB12" s="106" t="str">
        <f t="shared" si="4"/>
        <v>..</v>
      </c>
      <c r="BC12" s="21"/>
      <c r="BD12" s="70" t="s">
        <v>66</v>
      </c>
      <c r="BE12" s="70" t="s">
        <v>66</v>
      </c>
      <c r="BF12" s="114" t="str">
        <f t="shared" si="5"/>
        <v>..</v>
      </c>
      <c r="BG12" s="73"/>
      <c r="BH12" s="73"/>
      <c r="BI12" s="71" t="s">
        <v>66</v>
      </c>
      <c r="BJ12" s="71" t="s">
        <v>66</v>
      </c>
      <c r="BK12" s="71" t="s">
        <v>66</v>
      </c>
      <c r="BL12" s="116" t="s">
        <v>66</v>
      </c>
    </row>
    <row r="13" spans="1:64" s="13" customFormat="1" x14ac:dyDescent="0.2">
      <c r="A13" s="13" t="str">
        <f t="shared" si="0"/>
        <v>1969Q4</v>
      </c>
      <c r="B13" s="11">
        <f>B12</f>
        <v>1969</v>
      </c>
      <c r="C13" s="11" t="s">
        <v>4</v>
      </c>
      <c r="D13" s="43">
        <v>384</v>
      </c>
      <c r="E13" s="43">
        <v>585</v>
      </c>
      <c r="F13" s="87">
        <f t="shared" si="1"/>
        <v>969</v>
      </c>
      <c r="G13" s="42" t="s">
        <v>66</v>
      </c>
      <c r="H13" s="42" t="s">
        <v>66</v>
      </c>
      <c r="I13" s="92" t="s">
        <v>66</v>
      </c>
      <c r="J13" s="92" t="s">
        <v>66</v>
      </c>
      <c r="K13" s="92" t="s">
        <v>66</v>
      </c>
      <c r="L13" s="42" t="s">
        <v>66</v>
      </c>
      <c r="M13" s="42" t="s">
        <v>66</v>
      </c>
      <c r="N13" s="42" t="s">
        <v>67</v>
      </c>
      <c r="O13" s="42" t="s">
        <v>67</v>
      </c>
      <c r="P13" s="42" t="s">
        <v>66</v>
      </c>
      <c r="Q13" s="98">
        <v>1167</v>
      </c>
      <c r="R13" s="42" t="s">
        <v>67</v>
      </c>
      <c r="S13" s="42" t="s">
        <v>66</v>
      </c>
      <c r="T13" s="92" t="s">
        <v>66</v>
      </c>
      <c r="U13" s="42" t="s">
        <v>66</v>
      </c>
      <c r="V13" s="92" t="s">
        <v>66</v>
      </c>
      <c r="W13" s="42" t="s">
        <v>66</v>
      </c>
      <c r="X13" s="92" t="s">
        <v>66</v>
      </c>
      <c r="Y13" s="92" t="s">
        <v>66</v>
      </c>
      <c r="Z13" s="92" t="s">
        <v>66</v>
      </c>
      <c r="AA13" s="48" t="s">
        <v>67</v>
      </c>
      <c r="AB13" s="52">
        <v>64</v>
      </c>
      <c r="AC13" s="105">
        <f t="shared" si="2"/>
        <v>1231</v>
      </c>
      <c r="AD13" s="42" t="s">
        <v>66</v>
      </c>
      <c r="AE13" s="48" t="s">
        <v>67</v>
      </c>
      <c r="AF13" s="49" t="str">
        <f t="shared" si="3"/>
        <v>..</v>
      </c>
      <c r="AG13" s="36"/>
      <c r="AH13" s="32"/>
      <c r="AI13" s="108"/>
      <c r="AJ13" s="28"/>
      <c r="AK13" s="25"/>
      <c r="AL13" s="29"/>
      <c r="AM13" s="21"/>
      <c r="AN13" s="19" t="s">
        <v>66</v>
      </c>
      <c r="AO13" s="19" t="s">
        <v>66</v>
      </c>
      <c r="AP13" s="111" t="s">
        <v>66</v>
      </c>
      <c r="AQ13" s="19" t="s">
        <v>66</v>
      </c>
      <c r="AR13" s="19" t="s">
        <v>66</v>
      </c>
      <c r="AS13" s="112" t="s">
        <v>31</v>
      </c>
      <c r="AT13" s="112" t="s">
        <v>31</v>
      </c>
      <c r="AU13" s="19" t="s">
        <v>66</v>
      </c>
      <c r="AV13" s="19" t="s">
        <v>66</v>
      </c>
      <c r="AW13" s="19" t="s">
        <v>67</v>
      </c>
      <c r="AX13" s="19" t="s">
        <v>66</v>
      </c>
      <c r="AY13" s="19" t="s">
        <v>66</v>
      </c>
      <c r="AZ13" s="22" t="s">
        <v>67</v>
      </c>
      <c r="BA13" s="19" t="s">
        <v>67</v>
      </c>
      <c r="BB13" s="106" t="str">
        <f t="shared" si="4"/>
        <v>..</v>
      </c>
      <c r="BC13" s="21"/>
      <c r="BD13" s="70" t="s">
        <v>66</v>
      </c>
      <c r="BE13" s="70" t="s">
        <v>66</v>
      </c>
      <c r="BF13" s="114" t="str">
        <f t="shared" si="5"/>
        <v>..</v>
      </c>
      <c r="BG13" s="73"/>
      <c r="BH13" s="73"/>
      <c r="BI13" s="71" t="s">
        <v>66</v>
      </c>
      <c r="BJ13" s="71" t="s">
        <v>66</v>
      </c>
      <c r="BK13" s="71" t="s">
        <v>66</v>
      </c>
      <c r="BL13" s="116" t="s">
        <v>66</v>
      </c>
    </row>
    <row r="14" spans="1:64" s="13" customFormat="1" x14ac:dyDescent="0.2">
      <c r="A14" s="13" t="str">
        <f t="shared" si="0"/>
        <v>1970Q1</v>
      </c>
      <c r="B14" s="11">
        <v>1970</v>
      </c>
      <c r="C14" s="63" t="s">
        <v>1</v>
      </c>
      <c r="D14" s="43">
        <v>318</v>
      </c>
      <c r="E14" s="43">
        <v>663</v>
      </c>
      <c r="F14" s="87">
        <f t="shared" si="1"/>
        <v>981</v>
      </c>
      <c r="G14" s="42" t="s">
        <v>66</v>
      </c>
      <c r="H14" s="42" t="s">
        <v>66</v>
      </c>
      <c r="I14" s="92" t="s">
        <v>66</v>
      </c>
      <c r="J14" s="92" t="s">
        <v>66</v>
      </c>
      <c r="K14" s="92" t="s">
        <v>66</v>
      </c>
      <c r="L14" s="42" t="s">
        <v>66</v>
      </c>
      <c r="M14" s="42" t="s">
        <v>66</v>
      </c>
      <c r="N14" s="42" t="s">
        <v>67</v>
      </c>
      <c r="O14" s="42" t="s">
        <v>67</v>
      </c>
      <c r="P14" s="42" t="s">
        <v>66</v>
      </c>
      <c r="Q14" s="98">
        <v>1273</v>
      </c>
      <c r="R14" s="42" t="s">
        <v>67</v>
      </c>
      <c r="S14" s="42" t="s">
        <v>66</v>
      </c>
      <c r="T14" s="92" t="s">
        <v>66</v>
      </c>
      <c r="U14" s="42" t="s">
        <v>66</v>
      </c>
      <c r="V14" s="92" t="s">
        <v>66</v>
      </c>
      <c r="W14" s="42" t="s">
        <v>66</v>
      </c>
      <c r="X14" s="92" t="s">
        <v>66</v>
      </c>
      <c r="Y14" s="92" t="s">
        <v>66</v>
      </c>
      <c r="Z14" s="92" t="s">
        <v>66</v>
      </c>
      <c r="AA14" s="48" t="s">
        <v>67</v>
      </c>
      <c r="AB14" s="52">
        <v>41</v>
      </c>
      <c r="AC14" s="105">
        <f t="shared" si="2"/>
        <v>1314</v>
      </c>
      <c r="AD14" s="42" t="s">
        <v>66</v>
      </c>
      <c r="AE14" s="48" t="s">
        <v>67</v>
      </c>
      <c r="AF14" s="49" t="str">
        <f t="shared" si="3"/>
        <v>..</v>
      </c>
      <c r="AG14" s="36"/>
      <c r="AH14" s="32"/>
      <c r="AI14" s="108"/>
      <c r="AJ14" s="28"/>
      <c r="AK14" s="25"/>
      <c r="AL14" s="29"/>
      <c r="AM14" s="21"/>
      <c r="AN14" s="19" t="s">
        <v>66</v>
      </c>
      <c r="AO14" s="19" t="s">
        <v>66</v>
      </c>
      <c r="AP14" s="111" t="s">
        <v>66</v>
      </c>
      <c r="AQ14" s="19" t="s">
        <v>66</v>
      </c>
      <c r="AR14" s="19" t="s">
        <v>66</v>
      </c>
      <c r="AS14" s="112" t="s">
        <v>31</v>
      </c>
      <c r="AT14" s="112" t="s">
        <v>31</v>
      </c>
      <c r="AU14" s="19" t="s">
        <v>66</v>
      </c>
      <c r="AV14" s="19" t="s">
        <v>66</v>
      </c>
      <c r="AW14" s="19" t="s">
        <v>67</v>
      </c>
      <c r="AX14" s="19" t="s">
        <v>66</v>
      </c>
      <c r="AY14" s="19" t="s">
        <v>66</v>
      </c>
      <c r="AZ14" s="22" t="s">
        <v>67</v>
      </c>
      <c r="BA14" s="19" t="s">
        <v>67</v>
      </c>
      <c r="BB14" s="106" t="str">
        <f t="shared" si="4"/>
        <v>..</v>
      </c>
      <c r="BC14" s="21"/>
      <c r="BD14" s="70" t="s">
        <v>66</v>
      </c>
      <c r="BE14" s="70" t="s">
        <v>66</v>
      </c>
      <c r="BF14" s="114" t="str">
        <f t="shared" si="5"/>
        <v>..</v>
      </c>
      <c r="BG14" s="73"/>
      <c r="BH14" s="73"/>
      <c r="BI14" s="71" t="s">
        <v>66</v>
      </c>
      <c r="BJ14" s="71" t="s">
        <v>66</v>
      </c>
      <c r="BK14" s="71" t="s">
        <v>66</v>
      </c>
      <c r="BL14" s="116" t="s">
        <v>66</v>
      </c>
    </row>
    <row r="15" spans="1:64" s="13" customFormat="1" x14ac:dyDescent="0.2">
      <c r="A15" s="13" t="str">
        <f t="shared" si="0"/>
        <v>1970Q2</v>
      </c>
      <c r="B15" s="11">
        <f>B14</f>
        <v>1970</v>
      </c>
      <c r="C15" s="11" t="s">
        <v>2</v>
      </c>
      <c r="D15" s="43">
        <v>339</v>
      </c>
      <c r="E15" s="43">
        <v>627</v>
      </c>
      <c r="F15" s="87">
        <f t="shared" si="1"/>
        <v>966</v>
      </c>
      <c r="G15" s="42" t="s">
        <v>66</v>
      </c>
      <c r="H15" s="42" t="s">
        <v>66</v>
      </c>
      <c r="I15" s="92" t="s">
        <v>66</v>
      </c>
      <c r="J15" s="92" t="s">
        <v>66</v>
      </c>
      <c r="K15" s="92" t="s">
        <v>66</v>
      </c>
      <c r="L15" s="42" t="s">
        <v>66</v>
      </c>
      <c r="M15" s="42" t="s">
        <v>66</v>
      </c>
      <c r="N15" s="42" t="s">
        <v>67</v>
      </c>
      <c r="O15" s="42" t="s">
        <v>67</v>
      </c>
      <c r="P15" s="42" t="s">
        <v>66</v>
      </c>
      <c r="Q15" s="98">
        <v>1280</v>
      </c>
      <c r="R15" s="42" t="s">
        <v>67</v>
      </c>
      <c r="S15" s="42" t="s">
        <v>66</v>
      </c>
      <c r="T15" s="92" t="s">
        <v>66</v>
      </c>
      <c r="U15" s="42" t="s">
        <v>66</v>
      </c>
      <c r="V15" s="92" t="s">
        <v>66</v>
      </c>
      <c r="W15" s="42" t="s">
        <v>66</v>
      </c>
      <c r="X15" s="92" t="s">
        <v>66</v>
      </c>
      <c r="Y15" s="92" t="s">
        <v>66</v>
      </c>
      <c r="Z15" s="92" t="s">
        <v>66</v>
      </c>
      <c r="AA15" s="48" t="s">
        <v>67</v>
      </c>
      <c r="AB15" s="52">
        <v>41</v>
      </c>
      <c r="AC15" s="105">
        <f t="shared" si="2"/>
        <v>1321</v>
      </c>
      <c r="AD15" s="42" t="s">
        <v>66</v>
      </c>
      <c r="AE15" s="48" t="s">
        <v>67</v>
      </c>
      <c r="AF15" s="49" t="str">
        <f t="shared" si="3"/>
        <v>..</v>
      </c>
      <c r="AG15" s="36"/>
      <c r="AH15" s="32"/>
      <c r="AI15" s="108"/>
      <c r="AJ15" s="28"/>
      <c r="AK15" s="25"/>
      <c r="AL15" s="29"/>
      <c r="AM15" s="21"/>
      <c r="AN15" s="19" t="s">
        <v>66</v>
      </c>
      <c r="AO15" s="19" t="s">
        <v>66</v>
      </c>
      <c r="AP15" s="111" t="s">
        <v>66</v>
      </c>
      <c r="AQ15" s="19" t="s">
        <v>66</v>
      </c>
      <c r="AR15" s="19" t="s">
        <v>66</v>
      </c>
      <c r="AS15" s="112" t="s">
        <v>31</v>
      </c>
      <c r="AT15" s="112" t="s">
        <v>31</v>
      </c>
      <c r="AU15" s="19" t="s">
        <v>66</v>
      </c>
      <c r="AV15" s="19" t="s">
        <v>66</v>
      </c>
      <c r="AW15" s="19" t="s">
        <v>67</v>
      </c>
      <c r="AX15" s="19" t="s">
        <v>66</v>
      </c>
      <c r="AY15" s="19" t="s">
        <v>66</v>
      </c>
      <c r="AZ15" s="22" t="s">
        <v>67</v>
      </c>
      <c r="BA15" s="19" t="s">
        <v>67</v>
      </c>
      <c r="BB15" s="106" t="str">
        <f t="shared" si="4"/>
        <v>..</v>
      </c>
      <c r="BC15" s="21"/>
      <c r="BD15" s="70" t="s">
        <v>66</v>
      </c>
      <c r="BE15" s="70" t="s">
        <v>66</v>
      </c>
      <c r="BF15" s="114" t="str">
        <f t="shared" si="5"/>
        <v>..</v>
      </c>
      <c r="BG15" s="73"/>
      <c r="BH15" s="73"/>
      <c r="BI15" s="71" t="s">
        <v>66</v>
      </c>
      <c r="BJ15" s="71" t="s">
        <v>66</v>
      </c>
      <c r="BK15" s="71" t="s">
        <v>66</v>
      </c>
      <c r="BL15" s="116" t="s">
        <v>66</v>
      </c>
    </row>
    <row r="16" spans="1:64" s="13" customFormat="1" x14ac:dyDescent="0.2">
      <c r="A16" s="13" t="str">
        <f t="shared" si="0"/>
        <v>1970Q3</v>
      </c>
      <c r="B16" s="11">
        <f>B15</f>
        <v>1970</v>
      </c>
      <c r="C16" s="11" t="s">
        <v>3</v>
      </c>
      <c r="D16" s="43">
        <v>169</v>
      </c>
      <c r="E16" s="43">
        <v>575</v>
      </c>
      <c r="F16" s="87">
        <f t="shared" si="1"/>
        <v>744</v>
      </c>
      <c r="G16" s="42" t="s">
        <v>66</v>
      </c>
      <c r="H16" s="42" t="s">
        <v>66</v>
      </c>
      <c r="I16" s="92" t="s">
        <v>66</v>
      </c>
      <c r="J16" s="92" t="s">
        <v>66</v>
      </c>
      <c r="K16" s="92" t="s">
        <v>66</v>
      </c>
      <c r="L16" s="42" t="s">
        <v>66</v>
      </c>
      <c r="M16" s="42" t="s">
        <v>66</v>
      </c>
      <c r="N16" s="42" t="s">
        <v>67</v>
      </c>
      <c r="O16" s="42" t="s">
        <v>67</v>
      </c>
      <c r="P16" s="42" t="s">
        <v>66</v>
      </c>
      <c r="Q16" s="98">
        <v>1174</v>
      </c>
      <c r="R16" s="42" t="s">
        <v>67</v>
      </c>
      <c r="S16" s="42" t="s">
        <v>66</v>
      </c>
      <c r="T16" s="92" t="s">
        <v>66</v>
      </c>
      <c r="U16" s="42" t="s">
        <v>66</v>
      </c>
      <c r="V16" s="92" t="s">
        <v>66</v>
      </c>
      <c r="W16" s="42" t="s">
        <v>66</v>
      </c>
      <c r="X16" s="92" t="s">
        <v>66</v>
      </c>
      <c r="Y16" s="92" t="s">
        <v>66</v>
      </c>
      <c r="Z16" s="92" t="s">
        <v>66</v>
      </c>
      <c r="AA16" s="48" t="s">
        <v>67</v>
      </c>
      <c r="AB16" s="52">
        <v>45</v>
      </c>
      <c r="AC16" s="105">
        <f t="shared" si="2"/>
        <v>1219</v>
      </c>
      <c r="AD16" s="42" t="s">
        <v>66</v>
      </c>
      <c r="AE16" s="48" t="s">
        <v>67</v>
      </c>
      <c r="AF16" s="49" t="str">
        <f t="shared" si="3"/>
        <v>..</v>
      </c>
      <c r="AG16" s="36"/>
      <c r="AH16" s="32"/>
      <c r="AI16" s="108"/>
      <c r="AJ16" s="28"/>
      <c r="AK16" s="25"/>
      <c r="AL16" s="29"/>
      <c r="AM16" s="21"/>
      <c r="AN16" s="19" t="s">
        <v>66</v>
      </c>
      <c r="AO16" s="19" t="s">
        <v>66</v>
      </c>
      <c r="AP16" s="111" t="s">
        <v>66</v>
      </c>
      <c r="AQ16" s="19" t="s">
        <v>66</v>
      </c>
      <c r="AR16" s="19" t="s">
        <v>66</v>
      </c>
      <c r="AS16" s="112" t="s">
        <v>31</v>
      </c>
      <c r="AT16" s="112" t="s">
        <v>31</v>
      </c>
      <c r="AU16" s="19" t="s">
        <v>66</v>
      </c>
      <c r="AV16" s="19" t="s">
        <v>66</v>
      </c>
      <c r="AW16" s="19" t="s">
        <v>67</v>
      </c>
      <c r="AX16" s="19" t="s">
        <v>66</v>
      </c>
      <c r="AY16" s="19" t="s">
        <v>66</v>
      </c>
      <c r="AZ16" s="22" t="s">
        <v>67</v>
      </c>
      <c r="BA16" s="19" t="s">
        <v>67</v>
      </c>
      <c r="BB16" s="106" t="str">
        <f t="shared" si="4"/>
        <v>..</v>
      </c>
      <c r="BC16" s="21"/>
      <c r="BD16" s="70" t="s">
        <v>66</v>
      </c>
      <c r="BE16" s="70" t="s">
        <v>66</v>
      </c>
      <c r="BF16" s="114" t="str">
        <f t="shared" si="5"/>
        <v>..</v>
      </c>
      <c r="BG16" s="73"/>
      <c r="BH16" s="73"/>
      <c r="BI16" s="71" t="s">
        <v>66</v>
      </c>
      <c r="BJ16" s="71" t="s">
        <v>66</v>
      </c>
      <c r="BK16" s="71" t="s">
        <v>66</v>
      </c>
      <c r="BL16" s="116" t="s">
        <v>66</v>
      </c>
    </row>
    <row r="17" spans="1:64" s="13" customFormat="1" x14ac:dyDescent="0.2">
      <c r="A17" s="13" t="str">
        <f t="shared" si="0"/>
        <v>1970Q4</v>
      </c>
      <c r="B17" s="11">
        <f>B16</f>
        <v>1970</v>
      </c>
      <c r="C17" s="11" t="s">
        <v>4</v>
      </c>
      <c r="D17" s="43">
        <v>443</v>
      </c>
      <c r="E17" s="43">
        <v>555</v>
      </c>
      <c r="F17" s="87">
        <f t="shared" si="1"/>
        <v>998</v>
      </c>
      <c r="G17" s="42" t="s">
        <v>66</v>
      </c>
      <c r="H17" s="42" t="s">
        <v>66</v>
      </c>
      <c r="I17" s="92" t="s">
        <v>66</v>
      </c>
      <c r="J17" s="92" t="s">
        <v>66</v>
      </c>
      <c r="K17" s="92" t="s">
        <v>66</v>
      </c>
      <c r="L17" s="42" t="s">
        <v>66</v>
      </c>
      <c r="M17" s="42" t="s">
        <v>66</v>
      </c>
      <c r="N17" s="42" t="s">
        <v>67</v>
      </c>
      <c r="O17" s="42" t="s">
        <v>67</v>
      </c>
      <c r="P17" s="42" t="s">
        <v>66</v>
      </c>
      <c r="Q17" s="98">
        <v>1180</v>
      </c>
      <c r="R17" s="42" t="s">
        <v>67</v>
      </c>
      <c r="S17" s="42" t="s">
        <v>66</v>
      </c>
      <c r="T17" s="92" t="s">
        <v>66</v>
      </c>
      <c r="U17" s="42" t="s">
        <v>66</v>
      </c>
      <c r="V17" s="92" t="s">
        <v>66</v>
      </c>
      <c r="W17" s="42" t="s">
        <v>66</v>
      </c>
      <c r="X17" s="92" t="s">
        <v>66</v>
      </c>
      <c r="Y17" s="92" t="s">
        <v>66</v>
      </c>
      <c r="Z17" s="92" t="s">
        <v>66</v>
      </c>
      <c r="AA17" s="48" t="s">
        <v>67</v>
      </c>
      <c r="AB17" s="52">
        <v>53</v>
      </c>
      <c r="AC17" s="105">
        <f t="shared" si="2"/>
        <v>1233</v>
      </c>
      <c r="AD17" s="42" t="s">
        <v>66</v>
      </c>
      <c r="AE17" s="48" t="s">
        <v>67</v>
      </c>
      <c r="AF17" s="49" t="str">
        <f t="shared" si="3"/>
        <v>..</v>
      </c>
      <c r="AG17" s="36"/>
      <c r="AH17" s="32"/>
      <c r="AI17" s="108"/>
      <c r="AJ17" s="28"/>
      <c r="AK17" s="25"/>
      <c r="AL17" s="29"/>
      <c r="AM17" s="21"/>
      <c r="AN17" s="19" t="s">
        <v>66</v>
      </c>
      <c r="AO17" s="19" t="s">
        <v>66</v>
      </c>
      <c r="AP17" s="111" t="s">
        <v>66</v>
      </c>
      <c r="AQ17" s="19" t="s">
        <v>66</v>
      </c>
      <c r="AR17" s="19" t="s">
        <v>66</v>
      </c>
      <c r="AS17" s="112" t="s">
        <v>31</v>
      </c>
      <c r="AT17" s="112" t="s">
        <v>31</v>
      </c>
      <c r="AU17" s="19" t="s">
        <v>66</v>
      </c>
      <c r="AV17" s="19" t="s">
        <v>66</v>
      </c>
      <c r="AW17" s="19" t="s">
        <v>67</v>
      </c>
      <c r="AX17" s="19" t="s">
        <v>66</v>
      </c>
      <c r="AY17" s="19" t="s">
        <v>66</v>
      </c>
      <c r="AZ17" s="22" t="s">
        <v>67</v>
      </c>
      <c r="BA17" s="19" t="s">
        <v>67</v>
      </c>
      <c r="BB17" s="106" t="str">
        <f t="shared" si="4"/>
        <v>..</v>
      </c>
      <c r="BC17" s="21"/>
      <c r="BD17" s="70" t="s">
        <v>66</v>
      </c>
      <c r="BE17" s="70" t="s">
        <v>66</v>
      </c>
      <c r="BF17" s="114" t="str">
        <f t="shared" si="5"/>
        <v>..</v>
      </c>
      <c r="BG17" s="73"/>
      <c r="BH17" s="73"/>
      <c r="BI17" s="71" t="s">
        <v>66</v>
      </c>
      <c r="BJ17" s="71" t="s">
        <v>66</v>
      </c>
      <c r="BK17" s="71" t="s">
        <v>66</v>
      </c>
      <c r="BL17" s="116" t="s">
        <v>66</v>
      </c>
    </row>
    <row r="18" spans="1:64" s="13" customFormat="1" x14ac:dyDescent="0.2">
      <c r="A18" s="13" t="str">
        <f t="shared" si="0"/>
        <v>1971Q1</v>
      </c>
      <c r="B18" s="11">
        <v>1971</v>
      </c>
      <c r="C18" s="63" t="s">
        <v>1</v>
      </c>
      <c r="D18" s="43">
        <v>310</v>
      </c>
      <c r="E18" s="43">
        <v>450</v>
      </c>
      <c r="F18" s="87">
        <f t="shared" si="1"/>
        <v>760</v>
      </c>
      <c r="G18" s="42" t="s">
        <v>66</v>
      </c>
      <c r="H18" s="42" t="s">
        <v>66</v>
      </c>
      <c r="I18" s="92" t="s">
        <v>66</v>
      </c>
      <c r="J18" s="92" t="s">
        <v>66</v>
      </c>
      <c r="K18" s="92" t="s">
        <v>66</v>
      </c>
      <c r="L18" s="42" t="s">
        <v>66</v>
      </c>
      <c r="M18" s="42" t="s">
        <v>66</v>
      </c>
      <c r="N18" s="42" t="s">
        <v>67</v>
      </c>
      <c r="O18" s="42" t="s">
        <v>67</v>
      </c>
      <c r="P18" s="42" t="s">
        <v>66</v>
      </c>
      <c r="Q18" s="98">
        <v>1145</v>
      </c>
      <c r="R18" s="42" t="s">
        <v>67</v>
      </c>
      <c r="S18" s="42" t="s">
        <v>66</v>
      </c>
      <c r="T18" s="92" t="s">
        <v>66</v>
      </c>
      <c r="U18" s="42" t="s">
        <v>66</v>
      </c>
      <c r="V18" s="92" t="s">
        <v>66</v>
      </c>
      <c r="W18" s="42" t="s">
        <v>66</v>
      </c>
      <c r="X18" s="92" t="s">
        <v>66</v>
      </c>
      <c r="Y18" s="92" t="s">
        <v>66</v>
      </c>
      <c r="Z18" s="92" t="s">
        <v>66</v>
      </c>
      <c r="AA18" s="48" t="s">
        <v>67</v>
      </c>
      <c r="AB18" s="52">
        <v>26</v>
      </c>
      <c r="AC18" s="105">
        <f t="shared" si="2"/>
        <v>1171</v>
      </c>
      <c r="AD18" s="42" t="s">
        <v>66</v>
      </c>
      <c r="AE18" s="48" t="s">
        <v>67</v>
      </c>
      <c r="AF18" s="49" t="str">
        <f t="shared" si="3"/>
        <v>..</v>
      </c>
      <c r="AG18" s="36"/>
      <c r="AH18" s="32"/>
      <c r="AI18" s="108"/>
      <c r="AJ18" s="28"/>
      <c r="AK18" s="25"/>
      <c r="AL18" s="29"/>
      <c r="AM18" s="21"/>
      <c r="AN18" s="19" t="s">
        <v>66</v>
      </c>
      <c r="AO18" s="19" t="s">
        <v>66</v>
      </c>
      <c r="AP18" s="111" t="s">
        <v>66</v>
      </c>
      <c r="AQ18" s="19" t="s">
        <v>66</v>
      </c>
      <c r="AR18" s="19" t="s">
        <v>66</v>
      </c>
      <c r="AS18" s="112" t="s">
        <v>31</v>
      </c>
      <c r="AT18" s="112" t="s">
        <v>31</v>
      </c>
      <c r="AU18" s="19" t="s">
        <v>66</v>
      </c>
      <c r="AV18" s="19" t="s">
        <v>66</v>
      </c>
      <c r="AW18" s="19" t="s">
        <v>67</v>
      </c>
      <c r="AX18" s="19" t="s">
        <v>66</v>
      </c>
      <c r="AY18" s="19" t="s">
        <v>66</v>
      </c>
      <c r="AZ18" s="22" t="s">
        <v>67</v>
      </c>
      <c r="BA18" s="19" t="s">
        <v>67</v>
      </c>
      <c r="BB18" s="106" t="str">
        <f t="shared" si="4"/>
        <v>..</v>
      </c>
      <c r="BC18" s="21"/>
      <c r="BD18" s="70" t="s">
        <v>66</v>
      </c>
      <c r="BE18" s="70" t="s">
        <v>66</v>
      </c>
      <c r="BF18" s="114" t="str">
        <f t="shared" si="5"/>
        <v>..</v>
      </c>
      <c r="BG18" s="73"/>
      <c r="BH18" s="73"/>
      <c r="BI18" s="71" t="s">
        <v>66</v>
      </c>
      <c r="BJ18" s="71" t="s">
        <v>66</v>
      </c>
      <c r="BK18" s="71" t="s">
        <v>66</v>
      </c>
      <c r="BL18" s="116" t="s">
        <v>66</v>
      </c>
    </row>
    <row r="19" spans="1:64" s="13" customFormat="1" x14ac:dyDescent="0.2">
      <c r="A19" s="13" t="str">
        <f t="shared" si="0"/>
        <v>1971Q2</v>
      </c>
      <c r="B19" s="11">
        <f>B18</f>
        <v>1971</v>
      </c>
      <c r="C19" s="11" t="s">
        <v>2</v>
      </c>
      <c r="D19" s="43">
        <v>285</v>
      </c>
      <c r="E19" s="43">
        <v>660</v>
      </c>
      <c r="F19" s="87">
        <f t="shared" si="1"/>
        <v>945</v>
      </c>
      <c r="G19" s="42" t="s">
        <v>66</v>
      </c>
      <c r="H19" s="42" t="s">
        <v>66</v>
      </c>
      <c r="I19" s="92" t="s">
        <v>66</v>
      </c>
      <c r="J19" s="92" t="s">
        <v>66</v>
      </c>
      <c r="K19" s="92" t="s">
        <v>66</v>
      </c>
      <c r="L19" s="42" t="s">
        <v>66</v>
      </c>
      <c r="M19" s="42" t="s">
        <v>66</v>
      </c>
      <c r="N19" s="42" t="s">
        <v>67</v>
      </c>
      <c r="O19" s="42" t="s">
        <v>67</v>
      </c>
      <c r="P19" s="42" t="s">
        <v>66</v>
      </c>
      <c r="Q19" s="98">
        <v>1205</v>
      </c>
      <c r="R19" s="42" t="s">
        <v>67</v>
      </c>
      <c r="S19" s="42" t="s">
        <v>66</v>
      </c>
      <c r="T19" s="92" t="s">
        <v>66</v>
      </c>
      <c r="U19" s="42" t="s">
        <v>66</v>
      </c>
      <c r="V19" s="92" t="s">
        <v>66</v>
      </c>
      <c r="W19" s="42" t="s">
        <v>66</v>
      </c>
      <c r="X19" s="92" t="s">
        <v>66</v>
      </c>
      <c r="Y19" s="92" t="s">
        <v>66</v>
      </c>
      <c r="Z19" s="92" t="s">
        <v>66</v>
      </c>
      <c r="AA19" s="48" t="s">
        <v>67</v>
      </c>
      <c r="AB19" s="52">
        <v>48</v>
      </c>
      <c r="AC19" s="105">
        <f t="shared" si="2"/>
        <v>1253</v>
      </c>
      <c r="AD19" s="42" t="s">
        <v>66</v>
      </c>
      <c r="AE19" s="48" t="s">
        <v>67</v>
      </c>
      <c r="AF19" s="49" t="str">
        <f t="shared" si="3"/>
        <v>..</v>
      </c>
      <c r="AG19" s="36"/>
      <c r="AH19" s="32"/>
      <c r="AI19" s="108"/>
      <c r="AJ19" s="28"/>
      <c r="AK19" s="25"/>
      <c r="AL19" s="29"/>
      <c r="AM19" s="21"/>
      <c r="AN19" s="19" t="s">
        <v>66</v>
      </c>
      <c r="AO19" s="19" t="s">
        <v>66</v>
      </c>
      <c r="AP19" s="111" t="s">
        <v>66</v>
      </c>
      <c r="AQ19" s="19" t="s">
        <v>66</v>
      </c>
      <c r="AR19" s="19" t="s">
        <v>66</v>
      </c>
      <c r="AS19" s="112" t="s">
        <v>31</v>
      </c>
      <c r="AT19" s="112" t="s">
        <v>31</v>
      </c>
      <c r="AU19" s="19" t="s">
        <v>66</v>
      </c>
      <c r="AV19" s="19" t="s">
        <v>66</v>
      </c>
      <c r="AW19" s="19" t="s">
        <v>67</v>
      </c>
      <c r="AX19" s="19" t="s">
        <v>66</v>
      </c>
      <c r="AY19" s="19" t="s">
        <v>66</v>
      </c>
      <c r="AZ19" s="22" t="s">
        <v>67</v>
      </c>
      <c r="BA19" s="19" t="s">
        <v>67</v>
      </c>
      <c r="BB19" s="106" t="str">
        <f t="shared" si="4"/>
        <v>..</v>
      </c>
      <c r="BC19" s="21"/>
      <c r="BD19" s="70" t="s">
        <v>66</v>
      </c>
      <c r="BE19" s="70" t="s">
        <v>66</v>
      </c>
      <c r="BF19" s="114" t="str">
        <f t="shared" si="5"/>
        <v>..</v>
      </c>
      <c r="BG19" s="73"/>
      <c r="BH19" s="73"/>
      <c r="BI19" s="71" t="s">
        <v>66</v>
      </c>
      <c r="BJ19" s="71" t="s">
        <v>66</v>
      </c>
      <c r="BK19" s="71" t="s">
        <v>66</v>
      </c>
      <c r="BL19" s="116" t="s">
        <v>66</v>
      </c>
    </row>
    <row r="20" spans="1:64" s="13" customFormat="1" x14ac:dyDescent="0.2">
      <c r="A20" s="13" t="str">
        <f t="shared" si="0"/>
        <v>1971Q3</v>
      </c>
      <c r="B20" s="11">
        <f>B19</f>
        <v>1971</v>
      </c>
      <c r="C20" s="11" t="s">
        <v>3</v>
      </c>
      <c r="D20" s="43">
        <v>172</v>
      </c>
      <c r="E20" s="43">
        <v>605</v>
      </c>
      <c r="F20" s="87">
        <f t="shared" si="1"/>
        <v>777</v>
      </c>
      <c r="G20" s="42" t="s">
        <v>66</v>
      </c>
      <c r="H20" s="42" t="s">
        <v>66</v>
      </c>
      <c r="I20" s="92" t="s">
        <v>66</v>
      </c>
      <c r="J20" s="92" t="s">
        <v>66</v>
      </c>
      <c r="K20" s="92" t="s">
        <v>66</v>
      </c>
      <c r="L20" s="42" t="s">
        <v>66</v>
      </c>
      <c r="M20" s="42" t="s">
        <v>66</v>
      </c>
      <c r="N20" s="42" t="s">
        <v>67</v>
      </c>
      <c r="O20" s="42" t="s">
        <v>67</v>
      </c>
      <c r="P20" s="42" t="s">
        <v>66</v>
      </c>
      <c r="Q20" s="98">
        <v>1092</v>
      </c>
      <c r="R20" s="42" t="s">
        <v>67</v>
      </c>
      <c r="S20" s="42" t="s">
        <v>66</v>
      </c>
      <c r="T20" s="92" t="s">
        <v>66</v>
      </c>
      <c r="U20" s="42" t="s">
        <v>66</v>
      </c>
      <c r="V20" s="92" t="s">
        <v>66</v>
      </c>
      <c r="W20" s="42" t="s">
        <v>66</v>
      </c>
      <c r="X20" s="92" t="s">
        <v>66</v>
      </c>
      <c r="Y20" s="92" t="s">
        <v>66</v>
      </c>
      <c r="Z20" s="92" t="s">
        <v>66</v>
      </c>
      <c r="AA20" s="48" t="s">
        <v>67</v>
      </c>
      <c r="AB20" s="52">
        <v>45</v>
      </c>
      <c r="AC20" s="105">
        <f t="shared" si="2"/>
        <v>1137</v>
      </c>
      <c r="AD20" s="42" t="s">
        <v>66</v>
      </c>
      <c r="AE20" s="48" t="s">
        <v>67</v>
      </c>
      <c r="AF20" s="49" t="str">
        <f t="shared" si="3"/>
        <v>..</v>
      </c>
      <c r="AG20" s="36"/>
      <c r="AH20" s="32"/>
      <c r="AI20" s="108"/>
      <c r="AJ20" s="28"/>
      <c r="AK20" s="25"/>
      <c r="AL20" s="29"/>
      <c r="AM20" s="21"/>
      <c r="AN20" s="19" t="s">
        <v>66</v>
      </c>
      <c r="AO20" s="19" t="s">
        <v>66</v>
      </c>
      <c r="AP20" s="111" t="s">
        <v>66</v>
      </c>
      <c r="AQ20" s="19" t="s">
        <v>66</v>
      </c>
      <c r="AR20" s="19" t="s">
        <v>66</v>
      </c>
      <c r="AS20" s="112" t="s">
        <v>31</v>
      </c>
      <c r="AT20" s="112" t="s">
        <v>31</v>
      </c>
      <c r="AU20" s="19" t="s">
        <v>66</v>
      </c>
      <c r="AV20" s="19" t="s">
        <v>66</v>
      </c>
      <c r="AW20" s="19" t="s">
        <v>67</v>
      </c>
      <c r="AX20" s="19" t="s">
        <v>66</v>
      </c>
      <c r="AY20" s="19" t="s">
        <v>66</v>
      </c>
      <c r="AZ20" s="22" t="s">
        <v>67</v>
      </c>
      <c r="BA20" s="19" t="s">
        <v>67</v>
      </c>
      <c r="BB20" s="106" t="str">
        <f t="shared" si="4"/>
        <v>..</v>
      </c>
      <c r="BC20" s="21"/>
      <c r="BD20" s="70" t="s">
        <v>66</v>
      </c>
      <c r="BE20" s="70" t="s">
        <v>66</v>
      </c>
      <c r="BF20" s="114" t="str">
        <f t="shared" si="5"/>
        <v>..</v>
      </c>
      <c r="BG20" s="73"/>
      <c r="BH20" s="73"/>
      <c r="BI20" s="71" t="s">
        <v>66</v>
      </c>
      <c r="BJ20" s="71" t="s">
        <v>66</v>
      </c>
      <c r="BK20" s="71" t="s">
        <v>66</v>
      </c>
      <c r="BL20" s="116" t="s">
        <v>66</v>
      </c>
    </row>
    <row r="21" spans="1:64" s="13" customFormat="1" x14ac:dyDescent="0.2">
      <c r="A21" s="13" t="str">
        <f t="shared" si="0"/>
        <v>1971Q4</v>
      </c>
      <c r="B21" s="11">
        <f>B20</f>
        <v>1971</v>
      </c>
      <c r="C21" s="11" t="s">
        <v>4</v>
      </c>
      <c r="D21" s="43">
        <v>399</v>
      </c>
      <c r="E21" s="43">
        <v>625</v>
      </c>
      <c r="F21" s="87">
        <f t="shared" si="1"/>
        <v>1024</v>
      </c>
      <c r="G21" s="42" t="s">
        <v>66</v>
      </c>
      <c r="H21" s="42" t="s">
        <v>66</v>
      </c>
      <c r="I21" s="92" t="s">
        <v>66</v>
      </c>
      <c r="J21" s="92" t="s">
        <v>66</v>
      </c>
      <c r="K21" s="92" t="s">
        <v>66</v>
      </c>
      <c r="L21" s="42" t="s">
        <v>66</v>
      </c>
      <c r="M21" s="42" t="s">
        <v>66</v>
      </c>
      <c r="N21" s="42" t="s">
        <v>67</v>
      </c>
      <c r="O21" s="42" t="s">
        <v>67</v>
      </c>
      <c r="P21" s="42" t="s">
        <v>66</v>
      </c>
      <c r="Q21" s="98">
        <v>1201</v>
      </c>
      <c r="R21" s="42" t="s">
        <v>67</v>
      </c>
      <c r="S21" s="42" t="s">
        <v>66</v>
      </c>
      <c r="T21" s="92" t="s">
        <v>66</v>
      </c>
      <c r="U21" s="42" t="s">
        <v>66</v>
      </c>
      <c r="V21" s="92" t="s">
        <v>66</v>
      </c>
      <c r="W21" s="42" t="s">
        <v>66</v>
      </c>
      <c r="X21" s="92" t="s">
        <v>66</v>
      </c>
      <c r="Y21" s="92" t="s">
        <v>66</v>
      </c>
      <c r="Z21" s="92" t="s">
        <v>66</v>
      </c>
      <c r="AA21" s="48" t="s">
        <v>67</v>
      </c>
      <c r="AB21" s="52">
        <v>31</v>
      </c>
      <c r="AC21" s="105">
        <f t="shared" si="2"/>
        <v>1232</v>
      </c>
      <c r="AD21" s="42" t="s">
        <v>66</v>
      </c>
      <c r="AE21" s="48" t="s">
        <v>67</v>
      </c>
      <c r="AF21" s="49" t="str">
        <f t="shared" si="3"/>
        <v>..</v>
      </c>
      <c r="AG21" s="36"/>
      <c r="AH21" s="32"/>
      <c r="AI21" s="108"/>
      <c r="AJ21" s="28"/>
      <c r="AK21" s="25"/>
      <c r="AL21" s="29"/>
      <c r="AM21" s="21"/>
      <c r="AN21" s="19" t="s">
        <v>66</v>
      </c>
      <c r="AO21" s="19" t="s">
        <v>66</v>
      </c>
      <c r="AP21" s="111" t="s">
        <v>66</v>
      </c>
      <c r="AQ21" s="19" t="s">
        <v>66</v>
      </c>
      <c r="AR21" s="19" t="s">
        <v>66</v>
      </c>
      <c r="AS21" s="112" t="s">
        <v>31</v>
      </c>
      <c r="AT21" s="112" t="s">
        <v>31</v>
      </c>
      <c r="AU21" s="19" t="s">
        <v>66</v>
      </c>
      <c r="AV21" s="19" t="s">
        <v>66</v>
      </c>
      <c r="AW21" s="19" t="s">
        <v>67</v>
      </c>
      <c r="AX21" s="19" t="s">
        <v>66</v>
      </c>
      <c r="AY21" s="19" t="s">
        <v>66</v>
      </c>
      <c r="AZ21" s="22" t="s">
        <v>67</v>
      </c>
      <c r="BA21" s="19" t="s">
        <v>67</v>
      </c>
      <c r="BB21" s="106" t="str">
        <f t="shared" si="4"/>
        <v>..</v>
      </c>
      <c r="BC21" s="21"/>
      <c r="BD21" s="70" t="s">
        <v>66</v>
      </c>
      <c r="BE21" s="70" t="s">
        <v>66</v>
      </c>
      <c r="BF21" s="114" t="str">
        <f t="shared" si="5"/>
        <v>..</v>
      </c>
      <c r="BG21" s="73"/>
      <c r="BH21" s="73"/>
      <c r="BI21" s="71" t="s">
        <v>66</v>
      </c>
      <c r="BJ21" s="71" t="s">
        <v>66</v>
      </c>
      <c r="BK21" s="71" t="s">
        <v>66</v>
      </c>
      <c r="BL21" s="116" t="s">
        <v>66</v>
      </c>
    </row>
    <row r="22" spans="1:64" s="13" customFormat="1" x14ac:dyDescent="0.2">
      <c r="A22" s="13" t="str">
        <f t="shared" si="0"/>
        <v>1972Q1</v>
      </c>
      <c r="B22" s="11">
        <v>1972</v>
      </c>
      <c r="C22" s="63" t="s">
        <v>1</v>
      </c>
      <c r="D22" s="43">
        <v>291</v>
      </c>
      <c r="E22" s="43">
        <v>586</v>
      </c>
      <c r="F22" s="87">
        <f t="shared" si="1"/>
        <v>877</v>
      </c>
      <c r="G22" s="42" t="s">
        <v>66</v>
      </c>
      <c r="H22" s="42" t="s">
        <v>66</v>
      </c>
      <c r="I22" s="92" t="s">
        <v>66</v>
      </c>
      <c r="J22" s="92" t="s">
        <v>66</v>
      </c>
      <c r="K22" s="92" t="s">
        <v>66</v>
      </c>
      <c r="L22" s="42" t="s">
        <v>66</v>
      </c>
      <c r="M22" s="42" t="s">
        <v>66</v>
      </c>
      <c r="N22" s="42" t="s">
        <v>67</v>
      </c>
      <c r="O22" s="42" t="s">
        <v>67</v>
      </c>
      <c r="P22" s="42" t="s">
        <v>66</v>
      </c>
      <c r="Q22" s="98">
        <v>1197</v>
      </c>
      <c r="R22" s="42" t="s">
        <v>67</v>
      </c>
      <c r="S22" s="42" t="s">
        <v>66</v>
      </c>
      <c r="T22" s="92" t="s">
        <v>66</v>
      </c>
      <c r="U22" s="42" t="s">
        <v>66</v>
      </c>
      <c r="V22" s="92" t="s">
        <v>66</v>
      </c>
      <c r="W22" s="42" t="s">
        <v>66</v>
      </c>
      <c r="X22" s="92" t="s">
        <v>66</v>
      </c>
      <c r="Y22" s="92" t="s">
        <v>66</v>
      </c>
      <c r="Z22" s="92" t="s">
        <v>66</v>
      </c>
      <c r="AA22" s="48" t="s">
        <v>67</v>
      </c>
      <c r="AB22" s="52">
        <v>25</v>
      </c>
      <c r="AC22" s="105">
        <f t="shared" si="2"/>
        <v>1222</v>
      </c>
      <c r="AD22" s="42" t="s">
        <v>66</v>
      </c>
      <c r="AE22" s="48" t="s">
        <v>67</v>
      </c>
      <c r="AF22" s="49" t="str">
        <f t="shared" si="3"/>
        <v>..</v>
      </c>
      <c r="AG22" s="36"/>
      <c r="AH22" s="32"/>
      <c r="AI22" s="108"/>
      <c r="AJ22" s="28"/>
      <c r="AK22" s="25"/>
      <c r="AL22" s="29"/>
      <c r="AM22" s="21"/>
      <c r="AN22" s="19" t="s">
        <v>66</v>
      </c>
      <c r="AO22" s="19" t="s">
        <v>66</v>
      </c>
      <c r="AP22" s="111" t="s">
        <v>66</v>
      </c>
      <c r="AQ22" s="19" t="s">
        <v>66</v>
      </c>
      <c r="AR22" s="19" t="s">
        <v>66</v>
      </c>
      <c r="AS22" s="112" t="s">
        <v>31</v>
      </c>
      <c r="AT22" s="112" t="s">
        <v>31</v>
      </c>
      <c r="AU22" s="19" t="s">
        <v>66</v>
      </c>
      <c r="AV22" s="19" t="s">
        <v>66</v>
      </c>
      <c r="AW22" s="19" t="s">
        <v>67</v>
      </c>
      <c r="AX22" s="19" t="s">
        <v>66</v>
      </c>
      <c r="AY22" s="19" t="s">
        <v>66</v>
      </c>
      <c r="AZ22" s="22" t="s">
        <v>67</v>
      </c>
      <c r="BA22" s="19" t="s">
        <v>67</v>
      </c>
      <c r="BB22" s="106" t="str">
        <f t="shared" si="4"/>
        <v>..</v>
      </c>
      <c r="BC22" s="21"/>
      <c r="BD22" s="70" t="s">
        <v>66</v>
      </c>
      <c r="BE22" s="70" t="s">
        <v>66</v>
      </c>
      <c r="BF22" s="114" t="str">
        <f t="shared" si="5"/>
        <v>..</v>
      </c>
      <c r="BG22" s="73"/>
      <c r="BH22" s="73"/>
      <c r="BI22" s="71" t="s">
        <v>66</v>
      </c>
      <c r="BJ22" s="71" t="s">
        <v>66</v>
      </c>
      <c r="BK22" s="71" t="s">
        <v>66</v>
      </c>
      <c r="BL22" s="116" t="s">
        <v>66</v>
      </c>
    </row>
    <row r="23" spans="1:64" s="13" customFormat="1" x14ac:dyDescent="0.2">
      <c r="A23" s="13" t="str">
        <f t="shared" si="0"/>
        <v>1972Q2</v>
      </c>
      <c r="B23" s="11">
        <f>B22</f>
        <v>1972</v>
      </c>
      <c r="C23" s="11" t="s">
        <v>2</v>
      </c>
      <c r="D23" s="43">
        <v>293</v>
      </c>
      <c r="E23" s="43">
        <v>506</v>
      </c>
      <c r="F23" s="87">
        <f t="shared" si="1"/>
        <v>799</v>
      </c>
      <c r="G23" s="42" t="s">
        <v>66</v>
      </c>
      <c r="H23" s="42" t="s">
        <v>66</v>
      </c>
      <c r="I23" s="92" t="s">
        <v>66</v>
      </c>
      <c r="J23" s="92" t="s">
        <v>66</v>
      </c>
      <c r="K23" s="92" t="s">
        <v>66</v>
      </c>
      <c r="L23" s="42" t="s">
        <v>66</v>
      </c>
      <c r="M23" s="42" t="s">
        <v>66</v>
      </c>
      <c r="N23" s="42" t="s">
        <v>67</v>
      </c>
      <c r="O23" s="42" t="s">
        <v>67</v>
      </c>
      <c r="P23" s="42" t="s">
        <v>66</v>
      </c>
      <c r="Q23" s="98">
        <v>1175</v>
      </c>
      <c r="R23" s="42" t="s">
        <v>67</v>
      </c>
      <c r="S23" s="42" t="s">
        <v>66</v>
      </c>
      <c r="T23" s="92" t="s">
        <v>66</v>
      </c>
      <c r="U23" s="42" t="s">
        <v>66</v>
      </c>
      <c r="V23" s="92" t="s">
        <v>66</v>
      </c>
      <c r="W23" s="42" t="s">
        <v>66</v>
      </c>
      <c r="X23" s="92" t="s">
        <v>66</v>
      </c>
      <c r="Y23" s="92" t="s">
        <v>66</v>
      </c>
      <c r="Z23" s="92" t="s">
        <v>66</v>
      </c>
      <c r="AA23" s="48" t="s">
        <v>67</v>
      </c>
      <c r="AB23" s="52">
        <v>25</v>
      </c>
      <c r="AC23" s="105">
        <f t="shared" si="2"/>
        <v>1200</v>
      </c>
      <c r="AD23" s="42" t="s">
        <v>66</v>
      </c>
      <c r="AE23" s="48" t="s">
        <v>67</v>
      </c>
      <c r="AF23" s="49" t="str">
        <f t="shared" si="3"/>
        <v>..</v>
      </c>
      <c r="AG23" s="36"/>
      <c r="AH23" s="32"/>
      <c r="AI23" s="108"/>
      <c r="AJ23" s="28"/>
      <c r="AK23" s="25"/>
      <c r="AL23" s="29"/>
      <c r="AM23" s="21"/>
      <c r="AN23" s="19" t="s">
        <v>66</v>
      </c>
      <c r="AO23" s="19" t="s">
        <v>66</v>
      </c>
      <c r="AP23" s="111" t="s">
        <v>66</v>
      </c>
      <c r="AQ23" s="19" t="s">
        <v>66</v>
      </c>
      <c r="AR23" s="19" t="s">
        <v>66</v>
      </c>
      <c r="AS23" s="112" t="s">
        <v>31</v>
      </c>
      <c r="AT23" s="112" t="s">
        <v>31</v>
      </c>
      <c r="AU23" s="19" t="s">
        <v>66</v>
      </c>
      <c r="AV23" s="19" t="s">
        <v>66</v>
      </c>
      <c r="AW23" s="19" t="s">
        <v>67</v>
      </c>
      <c r="AX23" s="19" t="s">
        <v>66</v>
      </c>
      <c r="AY23" s="19" t="s">
        <v>66</v>
      </c>
      <c r="AZ23" s="22" t="s">
        <v>67</v>
      </c>
      <c r="BA23" s="19" t="s">
        <v>67</v>
      </c>
      <c r="BB23" s="106" t="str">
        <f t="shared" si="4"/>
        <v>..</v>
      </c>
      <c r="BC23" s="21"/>
      <c r="BD23" s="70" t="s">
        <v>66</v>
      </c>
      <c r="BE23" s="70" t="s">
        <v>66</v>
      </c>
      <c r="BF23" s="114" t="str">
        <f t="shared" si="5"/>
        <v>..</v>
      </c>
      <c r="BG23" s="73"/>
      <c r="BH23" s="73"/>
      <c r="BI23" s="71" t="s">
        <v>66</v>
      </c>
      <c r="BJ23" s="71" t="s">
        <v>66</v>
      </c>
      <c r="BK23" s="71" t="s">
        <v>66</v>
      </c>
      <c r="BL23" s="116" t="s">
        <v>66</v>
      </c>
    </row>
    <row r="24" spans="1:64" s="13" customFormat="1" x14ac:dyDescent="0.2">
      <c r="A24" s="13" t="str">
        <f t="shared" si="0"/>
        <v>1972Q3</v>
      </c>
      <c r="B24" s="11">
        <f>B23</f>
        <v>1972</v>
      </c>
      <c r="C24" s="11" t="s">
        <v>3</v>
      </c>
      <c r="D24" s="43">
        <v>160</v>
      </c>
      <c r="E24" s="43">
        <v>454</v>
      </c>
      <c r="F24" s="87">
        <f t="shared" si="1"/>
        <v>614</v>
      </c>
      <c r="G24" s="42" t="s">
        <v>66</v>
      </c>
      <c r="H24" s="42" t="s">
        <v>66</v>
      </c>
      <c r="I24" s="92" t="s">
        <v>66</v>
      </c>
      <c r="J24" s="92" t="s">
        <v>66</v>
      </c>
      <c r="K24" s="92" t="s">
        <v>66</v>
      </c>
      <c r="L24" s="42" t="s">
        <v>66</v>
      </c>
      <c r="M24" s="42" t="s">
        <v>66</v>
      </c>
      <c r="N24" s="42" t="s">
        <v>67</v>
      </c>
      <c r="O24" s="42" t="s">
        <v>67</v>
      </c>
      <c r="P24" s="42" t="s">
        <v>66</v>
      </c>
      <c r="Q24" s="98">
        <v>844</v>
      </c>
      <c r="R24" s="42" t="s">
        <v>67</v>
      </c>
      <c r="S24" s="42" t="s">
        <v>66</v>
      </c>
      <c r="T24" s="92" t="s">
        <v>66</v>
      </c>
      <c r="U24" s="42" t="s">
        <v>66</v>
      </c>
      <c r="V24" s="92" t="s">
        <v>66</v>
      </c>
      <c r="W24" s="42" t="s">
        <v>66</v>
      </c>
      <c r="X24" s="92" t="s">
        <v>66</v>
      </c>
      <c r="Y24" s="92" t="s">
        <v>66</v>
      </c>
      <c r="Z24" s="92" t="s">
        <v>66</v>
      </c>
      <c r="AA24" s="48" t="s">
        <v>67</v>
      </c>
      <c r="AB24" s="52">
        <v>22</v>
      </c>
      <c r="AC24" s="105">
        <f t="shared" si="2"/>
        <v>866</v>
      </c>
      <c r="AD24" s="42" t="s">
        <v>66</v>
      </c>
      <c r="AE24" s="48" t="s">
        <v>67</v>
      </c>
      <c r="AF24" s="49" t="str">
        <f t="shared" si="3"/>
        <v>..</v>
      </c>
      <c r="AG24" s="36"/>
      <c r="AH24" s="32"/>
      <c r="AI24" s="108"/>
      <c r="AJ24" s="28"/>
      <c r="AK24" s="25"/>
      <c r="AL24" s="29"/>
      <c r="AM24" s="21"/>
      <c r="AN24" s="19" t="s">
        <v>66</v>
      </c>
      <c r="AO24" s="19" t="s">
        <v>66</v>
      </c>
      <c r="AP24" s="111" t="s">
        <v>66</v>
      </c>
      <c r="AQ24" s="19" t="s">
        <v>66</v>
      </c>
      <c r="AR24" s="19" t="s">
        <v>66</v>
      </c>
      <c r="AS24" s="112" t="s">
        <v>31</v>
      </c>
      <c r="AT24" s="112" t="s">
        <v>31</v>
      </c>
      <c r="AU24" s="19" t="s">
        <v>66</v>
      </c>
      <c r="AV24" s="19" t="s">
        <v>66</v>
      </c>
      <c r="AW24" s="19" t="s">
        <v>67</v>
      </c>
      <c r="AX24" s="19" t="s">
        <v>66</v>
      </c>
      <c r="AY24" s="19" t="s">
        <v>66</v>
      </c>
      <c r="AZ24" s="22" t="s">
        <v>67</v>
      </c>
      <c r="BA24" s="19" t="s">
        <v>67</v>
      </c>
      <c r="BB24" s="106" t="str">
        <f t="shared" si="4"/>
        <v>..</v>
      </c>
      <c r="BC24" s="21"/>
      <c r="BD24" s="70" t="s">
        <v>66</v>
      </c>
      <c r="BE24" s="70" t="s">
        <v>66</v>
      </c>
      <c r="BF24" s="114" t="str">
        <f t="shared" si="5"/>
        <v>..</v>
      </c>
      <c r="BG24" s="73"/>
      <c r="BH24" s="73"/>
      <c r="BI24" s="71" t="s">
        <v>66</v>
      </c>
      <c r="BJ24" s="71" t="s">
        <v>66</v>
      </c>
      <c r="BK24" s="71" t="s">
        <v>66</v>
      </c>
      <c r="BL24" s="116" t="s">
        <v>66</v>
      </c>
    </row>
    <row r="25" spans="1:64" s="13" customFormat="1" x14ac:dyDescent="0.2">
      <c r="A25" s="13" t="str">
        <f t="shared" si="0"/>
        <v>1972Q4</v>
      </c>
      <c r="B25" s="11">
        <f>B24</f>
        <v>1972</v>
      </c>
      <c r="C25" s="11" t="s">
        <v>4</v>
      </c>
      <c r="D25" s="43">
        <v>406</v>
      </c>
      <c r="E25" s="43">
        <v>367</v>
      </c>
      <c r="F25" s="87">
        <f t="shared" si="1"/>
        <v>773</v>
      </c>
      <c r="G25" s="42" t="s">
        <v>66</v>
      </c>
      <c r="H25" s="42" t="s">
        <v>66</v>
      </c>
      <c r="I25" s="92" t="s">
        <v>66</v>
      </c>
      <c r="J25" s="92" t="s">
        <v>66</v>
      </c>
      <c r="K25" s="92" t="s">
        <v>66</v>
      </c>
      <c r="L25" s="42" t="s">
        <v>66</v>
      </c>
      <c r="M25" s="42" t="s">
        <v>66</v>
      </c>
      <c r="N25" s="42" t="s">
        <v>67</v>
      </c>
      <c r="O25" s="42" t="s">
        <v>67</v>
      </c>
      <c r="P25" s="42" t="s">
        <v>66</v>
      </c>
      <c r="Q25" s="98">
        <v>1028</v>
      </c>
      <c r="R25" s="42" t="s">
        <v>67</v>
      </c>
      <c r="S25" s="42" t="s">
        <v>66</v>
      </c>
      <c r="T25" s="92" t="s">
        <v>66</v>
      </c>
      <c r="U25" s="42" t="s">
        <v>66</v>
      </c>
      <c r="V25" s="92" t="s">
        <v>66</v>
      </c>
      <c r="W25" s="42" t="s">
        <v>66</v>
      </c>
      <c r="X25" s="92" t="s">
        <v>66</v>
      </c>
      <c r="Y25" s="92" t="s">
        <v>66</v>
      </c>
      <c r="Z25" s="92" t="s">
        <v>66</v>
      </c>
      <c r="AA25" s="48" t="s">
        <v>67</v>
      </c>
      <c r="AB25" s="52">
        <v>21</v>
      </c>
      <c r="AC25" s="105">
        <f t="shared" si="2"/>
        <v>1049</v>
      </c>
      <c r="AD25" s="42" t="s">
        <v>66</v>
      </c>
      <c r="AE25" s="48" t="s">
        <v>67</v>
      </c>
      <c r="AF25" s="49" t="str">
        <f t="shared" si="3"/>
        <v>..</v>
      </c>
      <c r="AG25" s="36"/>
      <c r="AH25" s="32"/>
      <c r="AI25" s="108"/>
      <c r="AJ25" s="28"/>
      <c r="AK25" s="25"/>
      <c r="AL25" s="29"/>
      <c r="AM25" s="21"/>
      <c r="AN25" s="19" t="s">
        <v>66</v>
      </c>
      <c r="AO25" s="19" t="s">
        <v>66</v>
      </c>
      <c r="AP25" s="111" t="s">
        <v>66</v>
      </c>
      <c r="AQ25" s="19" t="s">
        <v>66</v>
      </c>
      <c r="AR25" s="19" t="s">
        <v>66</v>
      </c>
      <c r="AS25" s="112" t="s">
        <v>31</v>
      </c>
      <c r="AT25" s="112" t="s">
        <v>31</v>
      </c>
      <c r="AU25" s="19" t="s">
        <v>66</v>
      </c>
      <c r="AV25" s="19" t="s">
        <v>66</v>
      </c>
      <c r="AW25" s="19" t="s">
        <v>67</v>
      </c>
      <c r="AX25" s="19" t="s">
        <v>66</v>
      </c>
      <c r="AY25" s="19" t="s">
        <v>66</v>
      </c>
      <c r="AZ25" s="22" t="s">
        <v>67</v>
      </c>
      <c r="BA25" s="19" t="s">
        <v>67</v>
      </c>
      <c r="BB25" s="106" t="str">
        <f t="shared" si="4"/>
        <v>..</v>
      </c>
      <c r="BC25" s="21"/>
      <c r="BD25" s="70" t="s">
        <v>66</v>
      </c>
      <c r="BE25" s="70" t="s">
        <v>66</v>
      </c>
      <c r="BF25" s="114" t="str">
        <f t="shared" si="5"/>
        <v>..</v>
      </c>
      <c r="BG25" s="73"/>
      <c r="BH25" s="73"/>
      <c r="BI25" s="71" t="s">
        <v>66</v>
      </c>
      <c r="BJ25" s="71" t="s">
        <v>66</v>
      </c>
      <c r="BK25" s="71" t="s">
        <v>66</v>
      </c>
      <c r="BL25" s="116" t="s">
        <v>66</v>
      </c>
    </row>
    <row r="26" spans="1:64" s="13" customFormat="1" x14ac:dyDescent="0.2">
      <c r="A26" s="13" t="str">
        <f t="shared" si="0"/>
        <v>1973Q1</v>
      </c>
      <c r="B26" s="11">
        <v>1973</v>
      </c>
      <c r="C26" s="63" t="s">
        <v>1</v>
      </c>
      <c r="D26" s="43">
        <v>273</v>
      </c>
      <c r="E26" s="43">
        <v>437</v>
      </c>
      <c r="F26" s="87">
        <f t="shared" si="1"/>
        <v>710</v>
      </c>
      <c r="G26" s="42" t="s">
        <v>66</v>
      </c>
      <c r="H26" s="42" t="s">
        <v>66</v>
      </c>
      <c r="I26" s="92" t="s">
        <v>66</v>
      </c>
      <c r="J26" s="92" t="s">
        <v>66</v>
      </c>
      <c r="K26" s="92" t="s">
        <v>66</v>
      </c>
      <c r="L26" s="42" t="s">
        <v>66</v>
      </c>
      <c r="M26" s="42" t="s">
        <v>66</v>
      </c>
      <c r="N26" s="42" t="s">
        <v>67</v>
      </c>
      <c r="O26" s="42" t="s">
        <v>67</v>
      </c>
      <c r="P26" s="42" t="s">
        <v>66</v>
      </c>
      <c r="Q26" s="98">
        <v>982</v>
      </c>
      <c r="R26" s="42" t="s">
        <v>67</v>
      </c>
      <c r="S26" s="42" t="s">
        <v>66</v>
      </c>
      <c r="T26" s="92" t="s">
        <v>66</v>
      </c>
      <c r="U26" s="42" t="s">
        <v>66</v>
      </c>
      <c r="V26" s="92" t="s">
        <v>66</v>
      </c>
      <c r="W26" s="42" t="s">
        <v>66</v>
      </c>
      <c r="X26" s="92" t="s">
        <v>66</v>
      </c>
      <c r="Y26" s="92" t="s">
        <v>66</v>
      </c>
      <c r="Z26" s="92" t="s">
        <v>66</v>
      </c>
      <c r="AA26" s="48" t="s">
        <v>67</v>
      </c>
      <c r="AB26" s="52">
        <v>29</v>
      </c>
      <c r="AC26" s="105">
        <f t="shared" si="2"/>
        <v>1011</v>
      </c>
      <c r="AD26" s="42" t="s">
        <v>66</v>
      </c>
      <c r="AE26" s="48" t="s">
        <v>67</v>
      </c>
      <c r="AF26" s="49" t="str">
        <f t="shared" si="3"/>
        <v>..</v>
      </c>
      <c r="AG26" s="36"/>
      <c r="AH26" s="32"/>
      <c r="AI26" s="108"/>
      <c r="AJ26" s="28"/>
      <c r="AK26" s="25"/>
      <c r="AL26" s="29"/>
      <c r="AM26" s="21"/>
      <c r="AN26" s="19" t="s">
        <v>66</v>
      </c>
      <c r="AO26" s="19" t="s">
        <v>66</v>
      </c>
      <c r="AP26" s="111" t="s">
        <v>66</v>
      </c>
      <c r="AQ26" s="19" t="s">
        <v>66</v>
      </c>
      <c r="AR26" s="19" t="s">
        <v>66</v>
      </c>
      <c r="AS26" s="112" t="s">
        <v>31</v>
      </c>
      <c r="AT26" s="112" t="s">
        <v>31</v>
      </c>
      <c r="AU26" s="19" t="s">
        <v>66</v>
      </c>
      <c r="AV26" s="19" t="s">
        <v>66</v>
      </c>
      <c r="AW26" s="19" t="s">
        <v>67</v>
      </c>
      <c r="AX26" s="19" t="s">
        <v>66</v>
      </c>
      <c r="AY26" s="19" t="s">
        <v>66</v>
      </c>
      <c r="AZ26" s="22" t="s">
        <v>67</v>
      </c>
      <c r="BA26" s="19" t="s">
        <v>67</v>
      </c>
      <c r="BB26" s="106" t="str">
        <f t="shared" si="4"/>
        <v>..</v>
      </c>
      <c r="BC26" s="21"/>
      <c r="BD26" s="70" t="s">
        <v>66</v>
      </c>
      <c r="BE26" s="70" t="s">
        <v>66</v>
      </c>
      <c r="BF26" s="114" t="str">
        <f t="shared" si="5"/>
        <v>..</v>
      </c>
      <c r="BG26" s="73"/>
      <c r="BH26" s="73"/>
      <c r="BI26" s="71" t="s">
        <v>66</v>
      </c>
      <c r="BJ26" s="71" t="s">
        <v>66</v>
      </c>
      <c r="BK26" s="71" t="s">
        <v>66</v>
      </c>
      <c r="BL26" s="116" t="s">
        <v>66</v>
      </c>
    </row>
    <row r="27" spans="1:64" s="13" customFormat="1" x14ac:dyDescent="0.2">
      <c r="A27" s="13" t="str">
        <f t="shared" si="0"/>
        <v>1973Q2</v>
      </c>
      <c r="B27" s="11">
        <f>B26</f>
        <v>1973</v>
      </c>
      <c r="C27" s="11" t="s">
        <v>2</v>
      </c>
      <c r="D27" s="43">
        <v>308</v>
      </c>
      <c r="E27" s="43">
        <v>345</v>
      </c>
      <c r="F27" s="87">
        <f t="shared" si="1"/>
        <v>653</v>
      </c>
      <c r="G27" s="42" t="s">
        <v>66</v>
      </c>
      <c r="H27" s="42" t="s">
        <v>66</v>
      </c>
      <c r="I27" s="92" t="s">
        <v>66</v>
      </c>
      <c r="J27" s="92" t="s">
        <v>66</v>
      </c>
      <c r="K27" s="92" t="s">
        <v>66</v>
      </c>
      <c r="L27" s="42" t="s">
        <v>66</v>
      </c>
      <c r="M27" s="42" t="s">
        <v>66</v>
      </c>
      <c r="N27" s="42" t="s">
        <v>67</v>
      </c>
      <c r="O27" s="42" t="s">
        <v>67</v>
      </c>
      <c r="P27" s="42" t="s">
        <v>66</v>
      </c>
      <c r="Q27" s="98">
        <v>919</v>
      </c>
      <c r="R27" s="42" t="s">
        <v>67</v>
      </c>
      <c r="S27" s="42" t="s">
        <v>66</v>
      </c>
      <c r="T27" s="92" t="s">
        <v>66</v>
      </c>
      <c r="U27" s="42" t="s">
        <v>66</v>
      </c>
      <c r="V27" s="92" t="s">
        <v>66</v>
      </c>
      <c r="W27" s="42" t="s">
        <v>66</v>
      </c>
      <c r="X27" s="92" t="s">
        <v>66</v>
      </c>
      <c r="Y27" s="92" t="s">
        <v>66</v>
      </c>
      <c r="Z27" s="92" t="s">
        <v>66</v>
      </c>
      <c r="AA27" s="48" t="s">
        <v>67</v>
      </c>
      <c r="AB27" s="52">
        <v>33</v>
      </c>
      <c r="AC27" s="105">
        <f t="shared" si="2"/>
        <v>952</v>
      </c>
      <c r="AD27" s="42" t="s">
        <v>66</v>
      </c>
      <c r="AE27" s="48" t="s">
        <v>67</v>
      </c>
      <c r="AF27" s="49" t="str">
        <f t="shared" si="3"/>
        <v>..</v>
      </c>
      <c r="AG27" s="36"/>
      <c r="AH27" s="32"/>
      <c r="AI27" s="108"/>
      <c r="AJ27" s="28"/>
      <c r="AK27" s="25"/>
      <c r="AL27" s="29"/>
      <c r="AM27" s="21"/>
      <c r="AN27" s="19" t="s">
        <v>66</v>
      </c>
      <c r="AO27" s="19" t="s">
        <v>66</v>
      </c>
      <c r="AP27" s="111" t="s">
        <v>66</v>
      </c>
      <c r="AQ27" s="19" t="s">
        <v>66</v>
      </c>
      <c r="AR27" s="19" t="s">
        <v>66</v>
      </c>
      <c r="AS27" s="112" t="s">
        <v>31</v>
      </c>
      <c r="AT27" s="112" t="s">
        <v>31</v>
      </c>
      <c r="AU27" s="19" t="s">
        <v>66</v>
      </c>
      <c r="AV27" s="19" t="s">
        <v>66</v>
      </c>
      <c r="AW27" s="19" t="s">
        <v>67</v>
      </c>
      <c r="AX27" s="19" t="s">
        <v>66</v>
      </c>
      <c r="AY27" s="19" t="s">
        <v>66</v>
      </c>
      <c r="AZ27" s="22" t="s">
        <v>67</v>
      </c>
      <c r="BA27" s="19" t="s">
        <v>67</v>
      </c>
      <c r="BB27" s="106" t="str">
        <f t="shared" si="4"/>
        <v>..</v>
      </c>
      <c r="BC27" s="21"/>
      <c r="BD27" s="70" t="s">
        <v>66</v>
      </c>
      <c r="BE27" s="70" t="s">
        <v>66</v>
      </c>
      <c r="BF27" s="114" t="str">
        <f t="shared" si="5"/>
        <v>..</v>
      </c>
      <c r="BG27" s="73"/>
      <c r="BH27" s="73"/>
      <c r="BI27" s="71" t="s">
        <v>66</v>
      </c>
      <c r="BJ27" s="71" t="s">
        <v>66</v>
      </c>
      <c r="BK27" s="71" t="s">
        <v>66</v>
      </c>
      <c r="BL27" s="116" t="s">
        <v>66</v>
      </c>
    </row>
    <row r="28" spans="1:64" s="13" customFormat="1" x14ac:dyDescent="0.2">
      <c r="A28" s="13" t="str">
        <f t="shared" si="0"/>
        <v>1973Q3</v>
      </c>
      <c r="B28" s="11">
        <f>B27</f>
        <v>1973</v>
      </c>
      <c r="C28" s="11" t="s">
        <v>3</v>
      </c>
      <c r="D28" s="43">
        <v>130</v>
      </c>
      <c r="E28" s="43">
        <v>333</v>
      </c>
      <c r="F28" s="87">
        <f t="shared" si="1"/>
        <v>463</v>
      </c>
      <c r="G28" s="42" t="s">
        <v>66</v>
      </c>
      <c r="H28" s="42" t="s">
        <v>66</v>
      </c>
      <c r="I28" s="92" t="s">
        <v>66</v>
      </c>
      <c r="J28" s="92" t="s">
        <v>66</v>
      </c>
      <c r="K28" s="92" t="s">
        <v>66</v>
      </c>
      <c r="L28" s="42" t="s">
        <v>66</v>
      </c>
      <c r="M28" s="42" t="s">
        <v>66</v>
      </c>
      <c r="N28" s="42" t="s">
        <v>67</v>
      </c>
      <c r="O28" s="42" t="s">
        <v>67</v>
      </c>
      <c r="P28" s="42" t="s">
        <v>66</v>
      </c>
      <c r="Q28" s="98">
        <v>858</v>
      </c>
      <c r="R28" s="42" t="s">
        <v>67</v>
      </c>
      <c r="S28" s="42" t="s">
        <v>66</v>
      </c>
      <c r="T28" s="92" t="s">
        <v>66</v>
      </c>
      <c r="U28" s="42" t="s">
        <v>66</v>
      </c>
      <c r="V28" s="92" t="s">
        <v>66</v>
      </c>
      <c r="W28" s="42" t="s">
        <v>66</v>
      </c>
      <c r="X28" s="92" t="s">
        <v>66</v>
      </c>
      <c r="Y28" s="92" t="s">
        <v>66</v>
      </c>
      <c r="Z28" s="92" t="s">
        <v>66</v>
      </c>
      <c r="AA28" s="48" t="s">
        <v>67</v>
      </c>
      <c r="AB28" s="52">
        <v>17</v>
      </c>
      <c r="AC28" s="105">
        <f t="shared" si="2"/>
        <v>875</v>
      </c>
      <c r="AD28" s="42" t="s">
        <v>66</v>
      </c>
      <c r="AE28" s="48" t="s">
        <v>67</v>
      </c>
      <c r="AF28" s="49" t="str">
        <f t="shared" si="3"/>
        <v>..</v>
      </c>
      <c r="AG28" s="36"/>
      <c r="AH28" s="32"/>
      <c r="AI28" s="108"/>
      <c r="AJ28" s="28"/>
      <c r="AK28" s="25"/>
      <c r="AL28" s="29"/>
      <c r="AM28" s="21"/>
      <c r="AN28" s="19" t="s">
        <v>66</v>
      </c>
      <c r="AO28" s="19" t="s">
        <v>66</v>
      </c>
      <c r="AP28" s="111" t="s">
        <v>66</v>
      </c>
      <c r="AQ28" s="19" t="s">
        <v>66</v>
      </c>
      <c r="AR28" s="19" t="s">
        <v>66</v>
      </c>
      <c r="AS28" s="112" t="s">
        <v>31</v>
      </c>
      <c r="AT28" s="112" t="s">
        <v>31</v>
      </c>
      <c r="AU28" s="19" t="s">
        <v>66</v>
      </c>
      <c r="AV28" s="19" t="s">
        <v>66</v>
      </c>
      <c r="AW28" s="19" t="s">
        <v>67</v>
      </c>
      <c r="AX28" s="19" t="s">
        <v>66</v>
      </c>
      <c r="AY28" s="19" t="s">
        <v>66</v>
      </c>
      <c r="AZ28" s="22" t="s">
        <v>67</v>
      </c>
      <c r="BA28" s="19" t="s">
        <v>67</v>
      </c>
      <c r="BB28" s="106" t="str">
        <f t="shared" si="4"/>
        <v>..</v>
      </c>
      <c r="BC28" s="21"/>
      <c r="BD28" s="70" t="s">
        <v>66</v>
      </c>
      <c r="BE28" s="70" t="s">
        <v>66</v>
      </c>
      <c r="BF28" s="114" t="str">
        <f t="shared" si="5"/>
        <v>..</v>
      </c>
      <c r="BG28" s="73"/>
      <c r="BH28" s="73"/>
      <c r="BI28" s="71" t="s">
        <v>66</v>
      </c>
      <c r="BJ28" s="71" t="s">
        <v>66</v>
      </c>
      <c r="BK28" s="71" t="s">
        <v>66</v>
      </c>
      <c r="BL28" s="116" t="s">
        <v>66</v>
      </c>
    </row>
    <row r="29" spans="1:64" s="13" customFormat="1" x14ac:dyDescent="0.2">
      <c r="A29" s="13" t="str">
        <f t="shared" si="0"/>
        <v>1973Q4</v>
      </c>
      <c r="B29" s="11">
        <f>B28</f>
        <v>1973</v>
      </c>
      <c r="C29" s="11" t="s">
        <v>4</v>
      </c>
      <c r="D29" s="43">
        <v>369</v>
      </c>
      <c r="E29" s="43">
        <v>380</v>
      </c>
      <c r="F29" s="87">
        <f t="shared" si="1"/>
        <v>749</v>
      </c>
      <c r="G29" s="42" t="s">
        <v>66</v>
      </c>
      <c r="H29" s="42" t="s">
        <v>66</v>
      </c>
      <c r="I29" s="92" t="s">
        <v>66</v>
      </c>
      <c r="J29" s="92" t="s">
        <v>66</v>
      </c>
      <c r="K29" s="92" t="s">
        <v>66</v>
      </c>
      <c r="L29" s="42" t="s">
        <v>66</v>
      </c>
      <c r="M29" s="42" t="s">
        <v>66</v>
      </c>
      <c r="N29" s="42" t="s">
        <v>67</v>
      </c>
      <c r="O29" s="42" t="s">
        <v>67</v>
      </c>
      <c r="P29" s="42" t="s">
        <v>66</v>
      </c>
      <c r="Q29" s="98">
        <v>1058</v>
      </c>
      <c r="R29" s="42" t="s">
        <v>67</v>
      </c>
      <c r="S29" s="42" t="s">
        <v>66</v>
      </c>
      <c r="T29" s="92" t="s">
        <v>66</v>
      </c>
      <c r="U29" s="42" t="s">
        <v>66</v>
      </c>
      <c r="V29" s="92" t="s">
        <v>66</v>
      </c>
      <c r="W29" s="42" t="s">
        <v>66</v>
      </c>
      <c r="X29" s="92" t="s">
        <v>66</v>
      </c>
      <c r="Y29" s="92" t="s">
        <v>66</v>
      </c>
      <c r="Z29" s="92" t="s">
        <v>66</v>
      </c>
      <c r="AA29" s="48" t="s">
        <v>67</v>
      </c>
      <c r="AB29" s="52">
        <v>21</v>
      </c>
      <c r="AC29" s="105">
        <f t="shared" si="2"/>
        <v>1079</v>
      </c>
      <c r="AD29" s="42" t="s">
        <v>66</v>
      </c>
      <c r="AE29" s="48" t="s">
        <v>67</v>
      </c>
      <c r="AF29" s="49" t="str">
        <f t="shared" si="3"/>
        <v>..</v>
      </c>
      <c r="AG29" s="36"/>
      <c r="AH29" s="32"/>
      <c r="AI29" s="108"/>
      <c r="AJ29" s="28"/>
      <c r="AK29" s="25"/>
      <c r="AL29" s="29"/>
      <c r="AM29" s="21"/>
      <c r="AN29" s="19" t="s">
        <v>66</v>
      </c>
      <c r="AO29" s="19" t="s">
        <v>66</v>
      </c>
      <c r="AP29" s="111" t="s">
        <v>66</v>
      </c>
      <c r="AQ29" s="19" t="s">
        <v>66</v>
      </c>
      <c r="AR29" s="19" t="s">
        <v>66</v>
      </c>
      <c r="AS29" s="112" t="s">
        <v>31</v>
      </c>
      <c r="AT29" s="112" t="s">
        <v>31</v>
      </c>
      <c r="AU29" s="19" t="s">
        <v>66</v>
      </c>
      <c r="AV29" s="19" t="s">
        <v>66</v>
      </c>
      <c r="AW29" s="19" t="s">
        <v>67</v>
      </c>
      <c r="AX29" s="19" t="s">
        <v>66</v>
      </c>
      <c r="AY29" s="19" t="s">
        <v>66</v>
      </c>
      <c r="AZ29" s="22" t="s">
        <v>67</v>
      </c>
      <c r="BA29" s="19" t="s">
        <v>67</v>
      </c>
      <c r="BB29" s="106" t="str">
        <f t="shared" si="4"/>
        <v>..</v>
      </c>
      <c r="BC29" s="21"/>
      <c r="BD29" s="70" t="s">
        <v>66</v>
      </c>
      <c r="BE29" s="70" t="s">
        <v>66</v>
      </c>
      <c r="BF29" s="114" t="str">
        <f t="shared" si="5"/>
        <v>..</v>
      </c>
      <c r="BG29" s="73"/>
      <c r="BH29" s="73"/>
      <c r="BI29" s="71" t="s">
        <v>66</v>
      </c>
      <c r="BJ29" s="71" t="s">
        <v>66</v>
      </c>
      <c r="BK29" s="71" t="s">
        <v>66</v>
      </c>
      <c r="BL29" s="116" t="s">
        <v>66</v>
      </c>
    </row>
    <row r="30" spans="1:64" s="13" customFormat="1" x14ac:dyDescent="0.2">
      <c r="A30" s="13" t="str">
        <f t="shared" si="0"/>
        <v>1974Q1</v>
      </c>
      <c r="B30" s="11">
        <v>1974</v>
      </c>
      <c r="C30" s="63" t="s">
        <v>1</v>
      </c>
      <c r="D30" s="43">
        <v>264</v>
      </c>
      <c r="E30" s="43">
        <v>449</v>
      </c>
      <c r="F30" s="87">
        <f t="shared" si="1"/>
        <v>713</v>
      </c>
      <c r="G30" s="42" t="s">
        <v>66</v>
      </c>
      <c r="H30" s="42" t="s">
        <v>66</v>
      </c>
      <c r="I30" s="92" t="s">
        <v>66</v>
      </c>
      <c r="J30" s="92" t="s">
        <v>66</v>
      </c>
      <c r="K30" s="92" t="s">
        <v>66</v>
      </c>
      <c r="L30" s="42" t="s">
        <v>66</v>
      </c>
      <c r="M30" s="42" t="s">
        <v>66</v>
      </c>
      <c r="N30" s="42" t="s">
        <v>67</v>
      </c>
      <c r="O30" s="42" t="s">
        <v>67</v>
      </c>
      <c r="P30" s="42" t="s">
        <v>66</v>
      </c>
      <c r="Q30" s="98">
        <v>1296</v>
      </c>
      <c r="R30" s="42" t="s">
        <v>67</v>
      </c>
      <c r="S30" s="42" t="s">
        <v>66</v>
      </c>
      <c r="T30" s="92" t="s">
        <v>66</v>
      </c>
      <c r="U30" s="42" t="s">
        <v>66</v>
      </c>
      <c r="V30" s="92" t="s">
        <v>66</v>
      </c>
      <c r="W30" s="42" t="s">
        <v>66</v>
      </c>
      <c r="X30" s="92" t="s">
        <v>66</v>
      </c>
      <c r="Y30" s="92" t="s">
        <v>66</v>
      </c>
      <c r="Z30" s="92" t="s">
        <v>66</v>
      </c>
      <c r="AA30" s="48" t="s">
        <v>67</v>
      </c>
      <c r="AB30" s="52">
        <v>26</v>
      </c>
      <c r="AC30" s="105">
        <f t="shared" si="2"/>
        <v>1322</v>
      </c>
      <c r="AD30" s="42" t="s">
        <v>66</v>
      </c>
      <c r="AE30" s="48" t="s">
        <v>67</v>
      </c>
      <c r="AF30" s="49" t="str">
        <f t="shared" si="3"/>
        <v>..</v>
      </c>
      <c r="AG30" s="36"/>
      <c r="AH30" s="32"/>
      <c r="AI30" s="108"/>
      <c r="AJ30" s="28"/>
      <c r="AK30" s="25"/>
      <c r="AL30" s="29"/>
      <c r="AM30" s="21"/>
      <c r="AN30" s="19" t="s">
        <v>66</v>
      </c>
      <c r="AO30" s="19" t="s">
        <v>66</v>
      </c>
      <c r="AP30" s="111" t="s">
        <v>66</v>
      </c>
      <c r="AQ30" s="19" t="s">
        <v>66</v>
      </c>
      <c r="AR30" s="19" t="s">
        <v>66</v>
      </c>
      <c r="AS30" s="112" t="s">
        <v>31</v>
      </c>
      <c r="AT30" s="112" t="s">
        <v>31</v>
      </c>
      <c r="AU30" s="19" t="s">
        <v>66</v>
      </c>
      <c r="AV30" s="19" t="s">
        <v>66</v>
      </c>
      <c r="AW30" s="19" t="s">
        <v>67</v>
      </c>
      <c r="AX30" s="19" t="s">
        <v>66</v>
      </c>
      <c r="AY30" s="19" t="s">
        <v>66</v>
      </c>
      <c r="AZ30" s="22" t="s">
        <v>67</v>
      </c>
      <c r="BA30" s="19" t="s">
        <v>67</v>
      </c>
      <c r="BB30" s="106" t="str">
        <f t="shared" si="4"/>
        <v>..</v>
      </c>
      <c r="BC30" s="21"/>
      <c r="BD30" s="70" t="s">
        <v>66</v>
      </c>
      <c r="BE30" s="70" t="s">
        <v>66</v>
      </c>
      <c r="BF30" s="114" t="str">
        <f t="shared" si="5"/>
        <v>..</v>
      </c>
      <c r="BG30" s="73"/>
      <c r="BH30" s="73"/>
      <c r="BI30" s="71" t="s">
        <v>66</v>
      </c>
      <c r="BJ30" s="71" t="s">
        <v>66</v>
      </c>
      <c r="BK30" s="71" t="s">
        <v>66</v>
      </c>
      <c r="BL30" s="116" t="s">
        <v>66</v>
      </c>
    </row>
    <row r="31" spans="1:64" s="13" customFormat="1" x14ac:dyDescent="0.2">
      <c r="A31" s="13" t="str">
        <f t="shared" si="0"/>
        <v>1974Q2</v>
      </c>
      <c r="B31" s="11">
        <f>B30</f>
        <v>1974</v>
      </c>
      <c r="C31" s="11" t="s">
        <v>2</v>
      </c>
      <c r="D31" s="43">
        <v>309</v>
      </c>
      <c r="E31" s="43">
        <v>535</v>
      </c>
      <c r="F31" s="87">
        <f t="shared" si="1"/>
        <v>844</v>
      </c>
      <c r="G31" s="42" t="s">
        <v>66</v>
      </c>
      <c r="H31" s="42" t="s">
        <v>66</v>
      </c>
      <c r="I31" s="92" t="s">
        <v>66</v>
      </c>
      <c r="J31" s="92" t="s">
        <v>66</v>
      </c>
      <c r="K31" s="92" t="s">
        <v>66</v>
      </c>
      <c r="L31" s="42" t="s">
        <v>66</v>
      </c>
      <c r="M31" s="42" t="s">
        <v>66</v>
      </c>
      <c r="N31" s="42" t="s">
        <v>67</v>
      </c>
      <c r="O31" s="42" t="s">
        <v>67</v>
      </c>
      <c r="P31" s="42" t="s">
        <v>66</v>
      </c>
      <c r="Q31" s="98">
        <v>1314</v>
      </c>
      <c r="R31" s="42" t="s">
        <v>67</v>
      </c>
      <c r="S31" s="42" t="s">
        <v>66</v>
      </c>
      <c r="T31" s="92" t="s">
        <v>66</v>
      </c>
      <c r="U31" s="42" t="s">
        <v>66</v>
      </c>
      <c r="V31" s="92" t="s">
        <v>66</v>
      </c>
      <c r="W31" s="42" t="s">
        <v>66</v>
      </c>
      <c r="X31" s="92" t="s">
        <v>66</v>
      </c>
      <c r="Y31" s="92" t="s">
        <v>66</v>
      </c>
      <c r="Z31" s="92" t="s">
        <v>66</v>
      </c>
      <c r="AA31" s="48" t="s">
        <v>67</v>
      </c>
      <c r="AB31" s="52">
        <v>27</v>
      </c>
      <c r="AC31" s="105">
        <f t="shared" si="2"/>
        <v>1341</v>
      </c>
      <c r="AD31" s="42" t="s">
        <v>66</v>
      </c>
      <c r="AE31" s="48" t="s">
        <v>67</v>
      </c>
      <c r="AF31" s="49" t="str">
        <f t="shared" si="3"/>
        <v>..</v>
      </c>
      <c r="AG31" s="36"/>
      <c r="AH31" s="32"/>
      <c r="AI31" s="108"/>
      <c r="AJ31" s="28"/>
      <c r="AK31" s="25"/>
      <c r="AL31" s="29"/>
      <c r="AM31" s="21"/>
      <c r="AN31" s="19" t="s">
        <v>66</v>
      </c>
      <c r="AO31" s="19" t="s">
        <v>66</v>
      </c>
      <c r="AP31" s="111" t="s">
        <v>66</v>
      </c>
      <c r="AQ31" s="19" t="s">
        <v>66</v>
      </c>
      <c r="AR31" s="19" t="s">
        <v>66</v>
      </c>
      <c r="AS31" s="112" t="s">
        <v>31</v>
      </c>
      <c r="AT31" s="112" t="s">
        <v>31</v>
      </c>
      <c r="AU31" s="19" t="s">
        <v>66</v>
      </c>
      <c r="AV31" s="19" t="s">
        <v>66</v>
      </c>
      <c r="AW31" s="19" t="s">
        <v>67</v>
      </c>
      <c r="AX31" s="19" t="s">
        <v>66</v>
      </c>
      <c r="AY31" s="19" t="s">
        <v>66</v>
      </c>
      <c r="AZ31" s="22" t="s">
        <v>67</v>
      </c>
      <c r="BA31" s="19" t="s">
        <v>67</v>
      </c>
      <c r="BB31" s="106" t="str">
        <f t="shared" si="4"/>
        <v>..</v>
      </c>
      <c r="BC31" s="21"/>
      <c r="BD31" s="70" t="s">
        <v>66</v>
      </c>
      <c r="BE31" s="70" t="s">
        <v>66</v>
      </c>
      <c r="BF31" s="114" t="str">
        <f t="shared" si="5"/>
        <v>..</v>
      </c>
      <c r="BG31" s="73"/>
      <c r="BH31" s="73"/>
      <c r="BI31" s="71" t="s">
        <v>66</v>
      </c>
      <c r="BJ31" s="71" t="s">
        <v>66</v>
      </c>
      <c r="BK31" s="71" t="s">
        <v>66</v>
      </c>
      <c r="BL31" s="116" t="s">
        <v>66</v>
      </c>
    </row>
    <row r="32" spans="1:64" s="13" customFormat="1" x14ac:dyDescent="0.2">
      <c r="A32" s="13" t="str">
        <f t="shared" si="0"/>
        <v>1974Q3</v>
      </c>
      <c r="B32" s="11">
        <f>B31</f>
        <v>1974</v>
      </c>
      <c r="C32" s="11" t="s">
        <v>3</v>
      </c>
      <c r="D32" s="43">
        <v>224</v>
      </c>
      <c r="E32" s="43">
        <v>605</v>
      </c>
      <c r="F32" s="87">
        <f t="shared" si="1"/>
        <v>829</v>
      </c>
      <c r="G32" s="42" t="s">
        <v>66</v>
      </c>
      <c r="H32" s="42" t="s">
        <v>66</v>
      </c>
      <c r="I32" s="92" t="s">
        <v>66</v>
      </c>
      <c r="J32" s="92" t="s">
        <v>66</v>
      </c>
      <c r="K32" s="92" t="s">
        <v>66</v>
      </c>
      <c r="L32" s="42" t="s">
        <v>66</v>
      </c>
      <c r="M32" s="42" t="s">
        <v>66</v>
      </c>
      <c r="N32" s="42" t="s">
        <v>67</v>
      </c>
      <c r="O32" s="42" t="s">
        <v>67</v>
      </c>
      <c r="P32" s="42" t="s">
        <v>66</v>
      </c>
      <c r="Q32" s="98">
        <v>1355</v>
      </c>
      <c r="R32" s="42" t="s">
        <v>67</v>
      </c>
      <c r="S32" s="42" t="s">
        <v>66</v>
      </c>
      <c r="T32" s="92" t="s">
        <v>66</v>
      </c>
      <c r="U32" s="42" t="s">
        <v>66</v>
      </c>
      <c r="V32" s="92" t="s">
        <v>66</v>
      </c>
      <c r="W32" s="42" t="s">
        <v>66</v>
      </c>
      <c r="X32" s="92" t="s">
        <v>66</v>
      </c>
      <c r="Y32" s="92" t="s">
        <v>66</v>
      </c>
      <c r="Z32" s="92" t="s">
        <v>66</v>
      </c>
      <c r="AA32" s="48" t="s">
        <v>67</v>
      </c>
      <c r="AB32" s="52">
        <v>22</v>
      </c>
      <c r="AC32" s="105">
        <f t="shared" si="2"/>
        <v>1377</v>
      </c>
      <c r="AD32" s="42" t="s">
        <v>66</v>
      </c>
      <c r="AE32" s="48" t="s">
        <v>67</v>
      </c>
      <c r="AF32" s="49" t="str">
        <f t="shared" si="3"/>
        <v>..</v>
      </c>
      <c r="AG32" s="36"/>
      <c r="AH32" s="32"/>
      <c r="AI32" s="108"/>
      <c r="AJ32" s="28"/>
      <c r="AK32" s="25"/>
      <c r="AL32" s="29"/>
      <c r="AM32" s="21"/>
      <c r="AN32" s="19" t="s">
        <v>66</v>
      </c>
      <c r="AO32" s="19" t="s">
        <v>66</v>
      </c>
      <c r="AP32" s="111" t="s">
        <v>66</v>
      </c>
      <c r="AQ32" s="19" t="s">
        <v>66</v>
      </c>
      <c r="AR32" s="19" t="s">
        <v>66</v>
      </c>
      <c r="AS32" s="112" t="s">
        <v>31</v>
      </c>
      <c r="AT32" s="112" t="s">
        <v>31</v>
      </c>
      <c r="AU32" s="19" t="s">
        <v>66</v>
      </c>
      <c r="AV32" s="19" t="s">
        <v>66</v>
      </c>
      <c r="AW32" s="19" t="s">
        <v>67</v>
      </c>
      <c r="AX32" s="19" t="s">
        <v>66</v>
      </c>
      <c r="AY32" s="19" t="s">
        <v>66</v>
      </c>
      <c r="AZ32" s="22" t="s">
        <v>67</v>
      </c>
      <c r="BA32" s="19" t="s">
        <v>67</v>
      </c>
      <c r="BB32" s="106" t="str">
        <f t="shared" si="4"/>
        <v>..</v>
      </c>
      <c r="BC32" s="21"/>
      <c r="BD32" s="70" t="s">
        <v>66</v>
      </c>
      <c r="BE32" s="70" t="s">
        <v>66</v>
      </c>
      <c r="BF32" s="114" t="str">
        <f t="shared" si="5"/>
        <v>..</v>
      </c>
      <c r="BG32" s="73"/>
      <c r="BH32" s="73"/>
      <c r="BI32" s="71" t="s">
        <v>66</v>
      </c>
      <c r="BJ32" s="71" t="s">
        <v>66</v>
      </c>
      <c r="BK32" s="71" t="s">
        <v>66</v>
      </c>
      <c r="BL32" s="116" t="s">
        <v>66</v>
      </c>
    </row>
    <row r="33" spans="1:64" s="13" customFormat="1" x14ac:dyDescent="0.2">
      <c r="A33" s="13" t="str">
        <f t="shared" si="0"/>
        <v>1974Q4</v>
      </c>
      <c r="B33" s="11">
        <f>B32</f>
        <v>1974</v>
      </c>
      <c r="C33" s="11" t="s">
        <v>4</v>
      </c>
      <c r="D33" s="43">
        <v>598</v>
      </c>
      <c r="E33" s="43">
        <v>736</v>
      </c>
      <c r="F33" s="87">
        <f t="shared" si="1"/>
        <v>1334</v>
      </c>
      <c r="G33" s="42" t="s">
        <v>66</v>
      </c>
      <c r="H33" s="42" t="s">
        <v>66</v>
      </c>
      <c r="I33" s="92" t="s">
        <v>66</v>
      </c>
      <c r="J33" s="92" t="s">
        <v>66</v>
      </c>
      <c r="K33" s="92" t="s">
        <v>66</v>
      </c>
      <c r="L33" s="42" t="s">
        <v>66</v>
      </c>
      <c r="M33" s="42" t="s">
        <v>66</v>
      </c>
      <c r="N33" s="42" t="s">
        <v>67</v>
      </c>
      <c r="O33" s="42" t="s">
        <v>67</v>
      </c>
      <c r="P33" s="42" t="s">
        <v>66</v>
      </c>
      <c r="Q33" s="98">
        <v>1643</v>
      </c>
      <c r="R33" s="42" t="s">
        <v>67</v>
      </c>
      <c r="S33" s="42" t="s">
        <v>66</v>
      </c>
      <c r="T33" s="92" t="s">
        <v>66</v>
      </c>
      <c r="U33" s="42" t="s">
        <v>66</v>
      </c>
      <c r="V33" s="92" t="s">
        <v>66</v>
      </c>
      <c r="W33" s="42" t="s">
        <v>66</v>
      </c>
      <c r="X33" s="92" t="s">
        <v>66</v>
      </c>
      <c r="Y33" s="92" t="s">
        <v>66</v>
      </c>
      <c r="Z33" s="92" t="s">
        <v>66</v>
      </c>
      <c r="AA33" s="48" t="s">
        <v>67</v>
      </c>
      <c r="AB33" s="52">
        <v>35</v>
      </c>
      <c r="AC33" s="105">
        <f t="shared" si="2"/>
        <v>1678</v>
      </c>
      <c r="AD33" s="42" t="s">
        <v>66</v>
      </c>
      <c r="AE33" s="48" t="s">
        <v>67</v>
      </c>
      <c r="AF33" s="49" t="str">
        <f t="shared" si="3"/>
        <v>..</v>
      </c>
      <c r="AG33" s="36"/>
      <c r="AH33" s="32"/>
      <c r="AI33" s="108"/>
      <c r="AJ33" s="28"/>
      <c r="AK33" s="25"/>
      <c r="AL33" s="29"/>
      <c r="AM33" s="21"/>
      <c r="AN33" s="19" t="s">
        <v>66</v>
      </c>
      <c r="AO33" s="19" t="s">
        <v>66</v>
      </c>
      <c r="AP33" s="111" t="s">
        <v>66</v>
      </c>
      <c r="AQ33" s="19" t="s">
        <v>66</v>
      </c>
      <c r="AR33" s="19" t="s">
        <v>66</v>
      </c>
      <c r="AS33" s="112" t="s">
        <v>31</v>
      </c>
      <c r="AT33" s="112" t="s">
        <v>31</v>
      </c>
      <c r="AU33" s="19" t="s">
        <v>66</v>
      </c>
      <c r="AV33" s="19" t="s">
        <v>66</v>
      </c>
      <c r="AW33" s="19" t="s">
        <v>67</v>
      </c>
      <c r="AX33" s="19" t="s">
        <v>66</v>
      </c>
      <c r="AY33" s="19" t="s">
        <v>66</v>
      </c>
      <c r="AZ33" s="22" t="s">
        <v>67</v>
      </c>
      <c r="BA33" s="19" t="s">
        <v>67</v>
      </c>
      <c r="BB33" s="106" t="str">
        <f t="shared" si="4"/>
        <v>..</v>
      </c>
      <c r="BC33" s="21"/>
      <c r="BD33" s="70" t="s">
        <v>66</v>
      </c>
      <c r="BE33" s="70" t="s">
        <v>66</v>
      </c>
      <c r="BF33" s="114" t="str">
        <f t="shared" si="5"/>
        <v>..</v>
      </c>
      <c r="BG33" s="73"/>
      <c r="BH33" s="73"/>
      <c r="BI33" s="71" t="s">
        <v>66</v>
      </c>
      <c r="BJ33" s="71" t="s">
        <v>66</v>
      </c>
      <c r="BK33" s="71" t="s">
        <v>66</v>
      </c>
      <c r="BL33" s="116" t="s">
        <v>66</v>
      </c>
    </row>
    <row r="34" spans="1:64" s="13" customFormat="1" x14ac:dyDescent="0.2">
      <c r="A34" s="13" t="str">
        <f t="shared" si="0"/>
        <v>1975Q1</v>
      </c>
      <c r="B34" s="11">
        <v>1975</v>
      </c>
      <c r="C34" s="63" t="s">
        <v>1</v>
      </c>
      <c r="D34" s="43">
        <v>540</v>
      </c>
      <c r="E34" s="43">
        <v>698</v>
      </c>
      <c r="F34" s="87">
        <f t="shared" si="1"/>
        <v>1238</v>
      </c>
      <c r="G34" s="42" t="s">
        <v>66</v>
      </c>
      <c r="H34" s="42" t="s">
        <v>66</v>
      </c>
      <c r="I34" s="92" t="s">
        <v>66</v>
      </c>
      <c r="J34" s="92" t="s">
        <v>66</v>
      </c>
      <c r="K34" s="92" t="s">
        <v>66</v>
      </c>
      <c r="L34" s="42" t="s">
        <v>66</v>
      </c>
      <c r="M34" s="42" t="s">
        <v>66</v>
      </c>
      <c r="N34" s="42" t="s">
        <v>67</v>
      </c>
      <c r="O34" s="42" t="s">
        <v>67</v>
      </c>
      <c r="P34" s="42" t="s">
        <v>66</v>
      </c>
      <c r="Q34" s="98">
        <v>1900</v>
      </c>
      <c r="R34" s="42" t="s">
        <v>67</v>
      </c>
      <c r="S34" s="42" t="s">
        <v>66</v>
      </c>
      <c r="T34" s="92" t="s">
        <v>66</v>
      </c>
      <c r="U34" s="42" t="s">
        <v>66</v>
      </c>
      <c r="V34" s="92" t="s">
        <v>66</v>
      </c>
      <c r="W34" s="42" t="s">
        <v>66</v>
      </c>
      <c r="X34" s="92" t="s">
        <v>66</v>
      </c>
      <c r="Y34" s="92" t="s">
        <v>66</v>
      </c>
      <c r="Z34" s="92" t="s">
        <v>66</v>
      </c>
      <c r="AA34" s="48" t="s">
        <v>67</v>
      </c>
      <c r="AB34" s="52">
        <v>38</v>
      </c>
      <c r="AC34" s="105">
        <f t="shared" si="2"/>
        <v>1938</v>
      </c>
      <c r="AD34" s="42" t="s">
        <v>66</v>
      </c>
      <c r="AE34" s="48" t="s">
        <v>67</v>
      </c>
      <c r="AF34" s="49" t="str">
        <f t="shared" si="3"/>
        <v>..</v>
      </c>
      <c r="AG34" s="36"/>
      <c r="AH34" s="32"/>
      <c r="AI34" s="108"/>
      <c r="AJ34" s="28"/>
      <c r="AK34" s="25"/>
      <c r="AL34" s="29"/>
      <c r="AM34" s="21"/>
      <c r="AN34" s="19" t="s">
        <v>66</v>
      </c>
      <c r="AO34" s="19" t="s">
        <v>66</v>
      </c>
      <c r="AP34" s="111" t="s">
        <v>66</v>
      </c>
      <c r="AQ34" s="19" t="s">
        <v>66</v>
      </c>
      <c r="AR34" s="19" t="s">
        <v>66</v>
      </c>
      <c r="AS34" s="112" t="s">
        <v>31</v>
      </c>
      <c r="AT34" s="112" t="s">
        <v>31</v>
      </c>
      <c r="AU34" s="19" t="s">
        <v>66</v>
      </c>
      <c r="AV34" s="19" t="s">
        <v>66</v>
      </c>
      <c r="AW34" s="19" t="s">
        <v>67</v>
      </c>
      <c r="AX34" s="19" t="s">
        <v>66</v>
      </c>
      <c r="AY34" s="19" t="s">
        <v>66</v>
      </c>
      <c r="AZ34" s="22" t="s">
        <v>67</v>
      </c>
      <c r="BA34" s="19" t="s">
        <v>67</v>
      </c>
      <c r="BB34" s="106" t="str">
        <f t="shared" si="4"/>
        <v>..</v>
      </c>
      <c r="BC34" s="21"/>
      <c r="BD34" s="70" t="s">
        <v>66</v>
      </c>
      <c r="BE34" s="70" t="s">
        <v>66</v>
      </c>
      <c r="BF34" s="114" t="str">
        <f t="shared" si="5"/>
        <v>..</v>
      </c>
      <c r="BG34" s="73"/>
      <c r="BH34" s="73"/>
      <c r="BI34" s="71" t="s">
        <v>66</v>
      </c>
      <c r="BJ34" s="71" t="s">
        <v>66</v>
      </c>
      <c r="BK34" s="71" t="s">
        <v>66</v>
      </c>
      <c r="BL34" s="116" t="s">
        <v>66</v>
      </c>
    </row>
    <row r="35" spans="1:64" s="13" customFormat="1" x14ac:dyDescent="0.2">
      <c r="A35" s="13" t="str">
        <f t="shared" si="0"/>
        <v>1975Q2</v>
      </c>
      <c r="B35" s="11">
        <f>B34</f>
        <v>1975</v>
      </c>
      <c r="C35" s="11" t="s">
        <v>2</v>
      </c>
      <c r="D35" s="43">
        <v>593</v>
      </c>
      <c r="E35" s="43">
        <v>724</v>
      </c>
      <c r="F35" s="87">
        <f t="shared" si="1"/>
        <v>1317</v>
      </c>
      <c r="G35" s="42" t="s">
        <v>66</v>
      </c>
      <c r="H35" s="42" t="s">
        <v>66</v>
      </c>
      <c r="I35" s="92" t="s">
        <v>66</v>
      </c>
      <c r="J35" s="92" t="s">
        <v>66</v>
      </c>
      <c r="K35" s="92" t="s">
        <v>66</v>
      </c>
      <c r="L35" s="42" t="s">
        <v>66</v>
      </c>
      <c r="M35" s="42" t="s">
        <v>66</v>
      </c>
      <c r="N35" s="42" t="s">
        <v>67</v>
      </c>
      <c r="O35" s="42" t="s">
        <v>67</v>
      </c>
      <c r="P35" s="42" t="s">
        <v>66</v>
      </c>
      <c r="Q35" s="98">
        <v>1783</v>
      </c>
      <c r="R35" s="42" t="s">
        <v>67</v>
      </c>
      <c r="S35" s="42" t="s">
        <v>66</v>
      </c>
      <c r="T35" s="92" t="s">
        <v>66</v>
      </c>
      <c r="U35" s="42" t="s">
        <v>66</v>
      </c>
      <c r="V35" s="92" t="s">
        <v>66</v>
      </c>
      <c r="W35" s="42" t="s">
        <v>66</v>
      </c>
      <c r="X35" s="92" t="s">
        <v>66</v>
      </c>
      <c r="Y35" s="92" t="s">
        <v>66</v>
      </c>
      <c r="Z35" s="92" t="s">
        <v>66</v>
      </c>
      <c r="AA35" s="48" t="s">
        <v>67</v>
      </c>
      <c r="AB35" s="52">
        <v>33</v>
      </c>
      <c r="AC35" s="105">
        <f t="shared" si="2"/>
        <v>1816</v>
      </c>
      <c r="AD35" s="42" t="s">
        <v>66</v>
      </c>
      <c r="AE35" s="48" t="s">
        <v>67</v>
      </c>
      <c r="AF35" s="49" t="str">
        <f t="shared" si="3"/>
        <v>..</v>
      </c>
      <c r="AG35" s="36"/>
      <c r="AH35" s="32"/>
      <c r="AI35" s="108"/>
      <c r="AJ35" s="28"/>
      <c r="AK35" s="25"/>
      <c r="AL35" s="29"/>
      <c r="AM35" s="21"/>
      <c r="AN35" s="19" t="s">
        <v>66</v>
      </c>
      <c r="AO35" s="19" t="s">
        <v>66</v>
      </c>
      <c r="AP35" s="111" t="s">
        <v>66</v>
      </c>
      <c r="AQ35" s="19" t="s">
        <v>66</v>
      </c>
      <c r="AR35" s="19" t="s">
        <v>66</v>
      </c>
      <c r="AS35" s="112" t="s">
        <v>31</v>
      </c>
      <c r="AT35" s="112" t="s">
        <v>31</v>
      </c>
      <c r="AU35" s="19" t="s">
        <v>66</v>
      </c>
      <c r="AV35" s="19" t="s">
        <v>66</v>
      </c>
      <c r="AW35" s="19" t="s">
        <v>67</v>
      </c>
      <c r="AX35" s="19" t="s">
        <v>66</v>
      </c>
      <c r="AY35" s="19" t="s">
        <v>66</v>
      </c>
      <c r="AZ35" s="22" t="s">
        <v>67</v>
      </c>
      <c r="BA35" s="19" t="s">
        <v>67</v>
      </c>
      <c r="BB35" s="106" t="str">
        <f t="shared" si="4"/>
        <v>..</v>
      </c>
      <c r="BC35" s="21"/>
      <c r="BD35" s="70" t="s">
        <v>66</v>
      </c>
      <c r="BE35" s="70" t="s">
        <v>66</v>
      </c>
      <c r="BF35" s="114" t="str">
        <f t="shared" si="5"/>
        <v>..</v>
      </c>
      <c r="BG35" s="73"/>
      <c r="BH35" s="73"/>
      <c r="BI35" s="71" t="s">
        <v>66</v>
      </c>
      <c r="BJ35" s="71" t="s">
        <v>66</v>
      </c>
      <c r="BK35" s="71" t="s">
        <v>66</v>
      </c>
      <c r="BL35" s="116" t="s">
        <v>66</v>
      </c>
    </row>
    <row r="36" spans="1:64" s="13" customFormat="1" x14ac:dyDescent="0.2">
      <c r="A36" s="13" t="str">
        <f t="shared" si="0"/>
        <v>1975Q3</v>
      </c>
      <c r="B36" s="11">
        <f>B35</f>
        <v>1975</v>
      </c>
      <c r="C36" s="11" t="s">
        <v>3</v>
      </c>
      <c r="D36" s="43">
        <v>279</v>
      </c>
      <c r="E36" s="43">
        <v>859</v>
      </c>
      <c r="F36" s="87">
        <f t="shared" si="1"/>
        <v>1138</v>
      </c>
      <c r="G36" s="42" t="s">
        <v>66</v>
      </c>
      <c r="H36" s="42" t="s">
        <v>66</v>
      </c>
      <c r="I36" s="92" t="s">
        <v>66</v>
      </c>
      <c r="J36" s="92" t="s">
        <v>66</v>
      </c>
      <c r="K36" s="92" t="s">
        <v>66</v>
      </c>
      <c r="L36" s="42" t="s">
        <v>66</v>
      </c>
      <c r="M36" s="42" t="s">
        <v>66</v>
      </c>
      <c r="N36" s="42" t="s">
        <v>67</v>
      </c>
      <c r="O36" s="42" t="s">
        <v>67</v>
      </c>
      <c r="P36" s="42" t="s">
        <v>66</v>
      </c>
      <c r="Q36" s="98">
        <v>1693</v>
      </c>
      <c r="R36" s="42" t="s">
        <v>67</v>
      </c>
      <c r="S36" s="42" t="s">
        <v>66</v>
      </c>
      <c r="T36" s="92" t="s">
        <v>66</v>
      </c>
      <c r="U36" s="42" t="s">
        <v>66</v>
      </c>
      <c r="V36" s="92" t="s">
        <v>66</v>
      </c>
      <c r="W36" s="42" t="s">
        <v>66</v>
      </c>
      <c r="X36" s="92" t="s">
        <v>66</v>
      </c>
      <c r="Y36" s="92" t="s">
        <v>66</v>
      </c>
      <c r="Z36" s="92" t="s">
        <v>66</v>
      </c>
      <c r="AA36" s="48" t="s">
        <v>67</v>
      </c>
      <c r="AB36" s="52">
        <v>26</v>
      </c>
      <c r="AC36" s="105">
        <f t="shared" si="2"/>
        <v>1719</v>
      </c>
      <c r="AD36" s="42" t="s">
        <v>66</v>
      </c>
      <c r="AE36" s="48" t="s">
        <v>67</v>
      </c>
      <c r="AF36" s="49" t="str">
        <f t="shared" si="3"/>
        <v>..</v>
      </c>
      <c r="AG36" s="36"/>
      <c r="AH36" s="32"/>
      <c r="AI36" s="108"/>
      <c r="AJ36" s="28"/>
      <c r="AK36" s="25"/>
      <c r="AL36" s="29"/>
      <c r="AM36" s="21"/>
      <c r="AN36" s="19" t="s">
        <v>66</v>
      </c>
      <c r="AO36" s="19" t="s">
        <v>66</v>
      </c>
      <c r="AP36" s="111" t="s">
        <v>66</v>
      </c>
      <c r="AQ36" s="19" t="s">
        <v>66</v>
      </c>
      <c r="AR36" s="19" t="s">
        <v>66</v>
      </c>
      <c r="AS36" s="111" t="s">
        <v>66</v>
      </c>
      <c r="AT36" s="111" t="s">
        <v>66</v>
      </c>
      <c r="AU36" s="19" t="s">
        <v>66</v>
      </c>
      <c r="AV36" s="19" t="s">
        <v>66</v>
      </c>
      <c r="AW36" s="19" t="s">
        <v>67</v>
      </c>
      <c r="AX36" s="19" t="s">
        <v>66</v>
      </c>
      <c r="AY36" s="19" t="s">
        <v>66</v>
      </c>
      <c r="AZ36" s="22" t="s">
        <v>67</v>
      </c>
      <c r="BA36" s="19" t="s">
        <v>67</v>
      </c>
      <c r="BB36" s="106" t="str">
        <f t="shared" si="4"/>
        <v>..</v>
      </c>
      <c r="BC36" s="21"/>
      <c r="BD36" s="70" t="s">
        <v>66</v>
      </c>
      <c r="BE36" s="70" t="s">
        <v>66</v>
      </c>
      <c r="BF36" s="114" t="str">
        <f t="shared" si="5"/>
        <v>..</v>
      </c>
      <c r="BG36" s="73"/>
      <c r="BH36" s="73"/>
      <c r="BI36" s="71" t="s">
        <v>66</v>
      </c>
      <c r="BJ36" s="71" t="s">
        <v>66</v>
      </c>
      <c r="BK36" s="71" t="s">
        <v>66</v>
      </c>
      <c r="BL36" s="116" t="s">
        <v>66</v>
      </c>
    </row>
    <row r="37" spans="1:64" s="13" customFormat="1" x14ac:dyDescent="0.2">
      <c r="A37" s="13" t="str">
        <f t="shared" si="0"/>
        <v>1975Q4</v>
      </c>
      <c r="B37" s="11">
        <f>B36</f>
        <v>1975</v>
      </c>
      <c r="C37" s="11" t="s">
        <v>4</v>
      </c>
      <c r="D37" s="43">
        <v>875</v>
      </c>
      <c r="E37" s="43">
        <v>830</v>
      </c>
      <c r="F37" s="87">
        <f t="shared" si="1"/>
        <v>1705</v>
      </c>
      <c r="G37" s="42" t="s">
        <v>66</v>
      </c>
      <c r="H37" s="42" t="s">
        <v>66</v>
      </c>
      <c r="I37" s="92" t="s">
        <v>66</v>
      </c>
      <c r="J37" s="92" t="s">
        <v>66</v>
      </c>
      <c r="K37" s="92" t="s">
        <v>66</v>
      </c>
      <c r="L37" s="42" t="s">
        <v>66</v>
      </c>
      <c r="M37" s="42" t="s">
        <v>66</v>
      </c>
      <c r="N37" s="42" t="s">
        <v>67</v>
      </c>
      <c r="O37" s="42" t="s">
        <v>67</v>
      </c>
      <c r="P37" s="42" t="s">
        <v>66</v>
      </c>
      <c r="Q37" s="98">
        <v>1767</v>
      </c>
      <c r="R37" s="42" t="s">
        <v>67</v>
      </c>
      <c r="S37" s="42" t="s">
        <v>66</v>
      </c>
      <c r="T37" s="92" t="s">
        <v>66</v>
      </c>
      <c r="U37" s="42" t="s">
        <v>66</v>
      </c>
      <c r="V37" s="92" t="s">
        <v>66</v>
      </c>
      <c r="W37" s="42" t="s">
        <v>66</v>
      </c>
      <c r="X37" s="92" t="s">
        <v>66</v>
      </c>
      <c r="Y37" s="92" t="s">
        <v>66</v>
      </c>
      <c r="Z37" s="92" t="s">
        <v>66</v>
      </c>
      <c r="AA37" s="48" t="s">
        <v>67</v>
      </c>
      <c r="AB37" s="52">
        <v>31</v>
      </c>
      <c r="AC37" s="105">
        <f t="shared" si="2"/>
        <v>1798</v>
      </c>
      <c r="AD37" s="42" t="s">
        <v>66</v>
      </c>
      <c r="AE37" s="48" t="s">
        <v>67</v>
      </c>
      <c r="AF37" s="49" t="str">
        <f t="shared" si="3"/>
        <v>..</v>
      </c>
      <c r="AG37" s="36"/>
      <c r="AH37" s="32"/>
      <c r="AI37" s="108"/>
      <c r="AJ37" s="28"/>
      <c r="AK37" s="25"/>
      <c r="AL37" s="29"/>
      <c r="AM37" s="21"/>
      <c r="AN37" s="19" t="s">
        <v>66</v>
      </c>
      <c r="AO37" s="19" t="s">
        <v>66</v>
      </c>
      <c r="AP37" s="111" t="s">
        <v>66</v>
      </c>
      <c r="AQ37" s="19" t="s">
        <v>66</v>
      </c>
      <c r="AR37" s="19" t="s">
        <v>66</v>
      </c>
      <c r="AS37" s="112" t="s">
        <v>31</v>
      </c>
      <c r="AT37" s="112" t="s">
        <v>31</v>
      </c>
      <c r="AU37" s="19" t="s">
        <v>66</v>
      </c>
      <c r="AV37" s="19" t="s">
        <v>66</v>
      </c>
      <c r="AW37" s="19" t="s">
        <v>67</v>
      </c>
      <c r="AX37" s="19" t="s">
        <v>66</v>
      </c>
      <c r="AY37" s="19" t="s">
        <v>66</v>
      </c>
      <c r="AZ37" s="22" t="s">
        <v>67</v>
      </c>
      <c r="BA37" s="19" t="s">
        <v>67</v>
      </c>
      <c r="BB37" s="106" t="str">
        <f t="shared" si="4"/>
        <v>..</v>
      </c>
      <c r="BC37" s="21"/>
      <c r="BD37" s="70" t="s">
        <v>66</v>
      </c>
      <c r="BE37" s="70" t="s">
        <v>66</v>
      </c>
      <c r="BF37" s="114" t="str">
        <f t="shared" si="5"/>
        <v>..</v>
      </c>
      <c r="BG37" s="73"/>
      <c r="BH37" s="73"/>
      <c r="BI37" s="71" t="s">
        <v>66</v>
      </c>
      <c r="BJ37" s="71" t="s">
        <v>66</v>
      </c>
      <c r="BK37" s="71" t="s">
        <v>66</v>
      </c>
      <c r="BL37" s="116" t="s">
        <v>66</v>
      </c>
    </row>
    <row r="38" spans="1:64" s="13" customFormat="1" x14ac:dyDescent="0.2">
      <c r="A38" s="13" t="str">
        <f t="shared" si="0"/>
        <v>1976Q1</v>
      </c>
      <c r="B38" s="11">
        <v>1976</v>
      </c>
      <c r="C38" s="63" t="s">
        <v>1</v>
      </c>
      <c r="D38" s="43">
        <v>687</v>
      </c>
      <c r="E38" s="43">
        <v>867</v>
      </c>
      <c r="F38" s="87">
        <f t="shared" si="1"/>
        <v>1554</v>
      </c>
      <c r="G38" s="42" t="s">
        <v>66</v>
      </c>
      <c r="H38" s="42" t="s">
        <v>66</v>
      </c>
      <c r="I38" s="92" t="s">
        <v>66</v>
      </c>
      <c r="J38" s="92" t="s">
        <v>66</v>
      </c>
      <c r="K38" s="92" t="s">
        <v>66</v>
      </c>
      <c r="L38" s="42" t="s">
        <v>66</v>
      </c>
      <c r="M38" s="42" t="s">
        <v>66</v>
      </c>
      <c r="N38" s="42" t="s">
        <v>67</v>
      </c>
      <c r="O38" s="42" t="s">
        <v>67</v>
      </c>
      <c r="P38" s="42" t="s">
        <v>66</v>
      </c>
      <c r="Q38" s="98">
        <v>1891</v>
      </c>
      <c r="R38" s="42" t="s">
        <v>67</v>
      </c>
      <c r="S38" s="42" t="s">
        <v>66</v>
      </c>
      <c r="T38" s="92" t="s">
        <v>66</v>
      </c>
      <c r="U38" s="42" t="s">
        <v>66</v>
      </c>
      <c r="V38" s="92" t="s">
        <v>66</v>
      </c>
      <c r="W38" s="42" t="s">
        <v>66</v>
      </c>
      <c r="X38" s="92" t="s">
        <v>66</v>
      </c>
      <c r="Y38" s="92" t="s">
        <v>66</v>
      </c>
      <c r="Z38" s="92" t="s">
        <v>66</v>
      </c>
      <c r="AA38" s="48" t="s">
        <v>67</v>
      </c>
      <c r="AB38" s="52">
        <v>30</v>
      </c>
      <c r="AC38" s="105">
        <f t="shared" ref="AC38:AC69" si="6">IF(AA38=":",Q38+AB38,Q38+AA38+AB38)</f>
        <v>1921</v>
      </c>
      <c r="AD38" s="42" t="s">
        <v>66</v>
      </c>
      <c r="AE38" s="48" t="s">
        <v>67</v>
      </c>
      <c r="AF38" s="49" t="str">
        <f t="shared" ref="AF38:AF69" si="7">IF(AE38=":",AD38,AD38+AE38)</f>
        <v>..</v>
      </c>
      <c r="AG38" s="36"/>
      <c r="AH38" s="32"/>
      <c r="AI38" s="108"/>
      <c r="AJ38" s="28"/>
      <c r="AK38" s="25"/>
      <c r="AL38" s="29"/>
      <c r="AM38" s="21"/>
      <c r="AN38" s="19" t="s">
        <v>66</v>
      </c>
      <c r="AO38" s="19" t="s">
        <v>66</v>
      </c>
      <c r="AP38" s="111" t="s">
        <v>66</v>
      </c>
      <c r="AQ38" s="19" t="s">
        <v>66</v>
      </c>
      <c r="AR38" s="19" t="s">
        <v>66</v>
      </c>
      <c r="AS38" s="112" t="s">
        <v>31</v>
      </c>
      <c r="AT38" s="112" t="s">
        <v>31</v>
      </c>
      <c r="AU38" s="19" t="s">
        <v>66</v>
      </c>
      <c r="AV38" s="19" t="s">
        <v>66</v>
      </c>
      <c r="AW38" s="19" t="s">
        <v>67</v>
      </c>
      <c r="AX38" s="19" t="s">
        <v>66</v>
      </c>
      <c r="AY38" s="19" t="s">
        <v>66</v>
      </c>
      <c r="AZ38" s="22" t="s">
        <v>67</v>
      </c>
      <c r="BA38" s="19" t="s">
        <v>67</v>
      </c>
      <c r="BB38" s="106" t="str">
        <f t="shared" si="4"/>
        <v>..</v>
      </c>
      <c r="BC38" s="21"/>
      <c r="BD38" s="70" t="s">
        <v>66</v>
      </c>
      <c r="BE38" s="70" t="s">
        <v>66</v>
      </c>
      <c r="BF38" s="114" t="str">
        <f t="shared" si="5"/>
        <v>..</v>
      </c>
      <c r="BG38" s="73"/>
      <c r="BH38" s="73"/>
      <c r="BI38" s="71" t="s">
        <v>66</v>
      </c>
      <c r="BJ38" s="71" t="s">
        <v>66</v>
      </c>
      <c r="BK38" s="71" t="s">
        <v>66</v>
      </c>
      <c r="BL38" s="116" t="s">
        <v>66</v>
      </c>
    </row>
    <row r="39" spans="1:64" s="13" customFormat="1" x14ac:dyDescent="0.2">
      <c r="A39" s="13" t="str">
        <f t="shared" si="0"/>
        <v>1976Q2</v>
      </c>
      <c r="B39" s="11">
        <f>B38</f>
        <v>1976</v>
      </c>
      <c r="C39" s="11" t="s">
        <v>2</v>
      </c>
      <c r="D39" s="43">
        <v>653</v>
      </c>
      <c r="E39" s="43">
        <v>837</v>
      </c>
      <c r="F39" s="87">
        <f t="shared" si="1"/>
        <v>1490</v>
      </c>
      <c r="G39" s="42" t="s">
        <v>66</v>
      </c>
      <c r="H39" s="42" t="s">
        <v>66</v>
      </c>
      <c r="I39" s="92" t="s">
        <v>66</v>
      </c>
      <c r="J39" s="92" t="s">
        <v>66</v>
      </c>
      <c r="K39" s="92" t="s">
        <v>66</v>
      </c>
      <c r="L39" s="42" t="s">
        <v>66</v>
      </c>
      <c r="M39" s="42" t="s">
        <v>66</v>
      </c>
      <c r="N39" s="42" t="s">
        <v>67</v>
      </c>
      <c r="O39" s="42" t="s">
        <v>67</v>
      </c>
      <c r="P39" s="42" t="s">
        <v>66</v>
      </c>
      <c r="Q39" s="98">
        <v>1785</v>
      </c>
      <c r="R39" s="42" t="s">
        <v>67</v>
      </c>
      <c r="S39" s="42" t="s">
        <v>66</v>
      </c>
      <c r="T39" s="92" t="s">
        <v>66</v>
      </c>
      <c r="U39" s="42" t="s">
        <v>66</v>
      </c>
      <c r="V39" s="92" t="s">
        <v>66</v>
      </c>
      <c r="W39" s="42" t="s">
        <v>66</v>
      </c>
      <c r="X39" s="92" t="s">
        <v>66</v>
      </c>
      <c r="Y39" s="92" t="s">
        <v>66</v>
      </c>
      <c r="Z39" s="92" t="s">
        <v>66</v>
      </c>
      <c r="AA39" s="48" t="s">
        <v>67</v>
      </c>
      <c r="AB39" s="52">
        <v>22</v>
      </c>
      <c r="AC39" s="105">
        <f t="shared" si="6"/>
        <v>1807</v>
      </c>
      <c r="AD39" s="42" t="s">
        <v>66</v>
      </c>
      <c r="AE39" s="48" t="s">
        <v>67</v>
      </c>
      <c r="AF39" s="49" t="str">
        <f t="shared" si="7"/>
        <v>..</v>
      </c>
      <c r="AG39" s="36"/>
      <c r="AH39" s="32"/>
      <c r="AI39" s="108"/>
      <c r="AJ39" s="28"/>
      <c r="AK39" s="25"/>
      <c r="AL39" s="29"/>
      <c r="AM39" s="21"/>
      <c r="AN39" s="19" t="s">
        <v>66</v>
      </c>
      <c r="AO39" s="19" t="s">
        <v>66</v>
      </c>
      <c r="AP39" s="111" t="s">
        <v>66</v>
      </c>
      <c r="AQ39" s="19" t="s">
        <v>66</v>
      </c>
      <c r="AR39" s="19" t="s">
        <v>66</v>
      </c>
      <c r="AS39" s="112" t="s">
        <v>31</v>
      </c>
      <c r="AT39" s="112" t="s">
        <v>31</v>
      </c>
      <c r="AU39" s="19" t="s">
        <v>66</v>
      </c>
      <c r="AV39" s="19" t="s">
        <v>66</v>
      </c>
      <c r="AW39" s="19" t="s">
        <v>67</v>
      </c>
      <c r="AX39" s="19" t="s">
        <v>66</v>
      </c>
      <c r="AY39" s="19" t="s">
        <v>66</v>
      </c>
      <c r="AZ39" s="22" t="s">
        <v>67</v>
      </c>
      <c r="BA39" s="19" t="s">
        <v>67</v>
      </c>
      <c r="BB39" s="106" t="str">
        <f t="shared" si="4"/>
        <v>..</v>
      </c>
      <c r="BC39" s="21"/>
      <c r="BD39" s="70" t="s">
        <v>66</v>
      </c>
      <c r="BE39" s="70" t="s">
        <v>66</v>
      </c>
      <c r="BF39" s="114" t="str">
        <f t="shared" si="5"/>
        <v>..</v>
      </c>
      <c r="BG39" s="73"/>
      <c r="BH39" s="73"/>
      <c r="BI39" s="71" t="s">
        <v>66</v>
      </c>
      <c r="BJ39" s="71" t="s">
        <v>66</v>
      </c>
      <c r="BK39" s="71" t="s">
        <v>66</v>
      </c>
      <c r="BL39" s="116" t="s">
        <v>66</v>
      </c>
    </row>
    <row r="40" spans="1:64" s="13" customFormat="1" x14ac:dyDescent="0.2">
      <c r="A40" s="13" t="str">
        <f t="shared" si="0"/>
        <v>1976Q3</v>
      </c>
      <c r="B40" s="11">
        <f>B39</f>
        <v>1976</v>
      </c>
      <c r="C40" s="11" t="s">
        <v>3</v>
      </c>
      <c r="D40" s="43">
        <v>324</v>
      </c>
      <c r="E40" s="43">
        <v>826</v>
      </c>
      <c r="F40" s="87">
        <f t="shared" si="1"/>
        <v>1150</v>
      </c>
      <c r="G40" s="42" t="s">
        <v>66</v>
      </c>
      <c r="H40" s="42" t="s">
        <v>66</v>
      </c>
      <c r="I40" s="92" t="s">
        <v>66</v>
      </c>
      <c r="J40" s="92" t="s">
        <v>66</v>
      </c>
      <c r="K40" s="92" t="s">
        <v>66</v>
      </c>
      <c r="L40" s="42" t="s">
        <v>66</v>
      </c>
      <c r="M40" s="42" t="s">
        <v>66</v>
      </c>
      <c r="N40" s="42" t="s">
        <v>67</v>
      </c>
      <c r="O40" s="42" t="s">
        <v>67</v>
      </c>
      <c r="P40" s="42" t="s">
        <v>66</v>
      </c>
      <c r="Q40" s="98">
        <v>1571</v>
      </c>
      <c r="R40" s="42" t="s">
        <v>67</v>
      </c>
      <c r="S40" s="42" t="s">
        <v>66</v>
      </c>
      <c r="T40" s="92" t="s">
        <v>66</v>
      </c>
      <c r="U40" s="42" t="s">
        <v>66</v>
      </c>
      <c r="V40" s="92" t="s">
        <v>66</v>
      </c>
      <c r="W40" s="42" t="s">
        <v>66</v>
      </c>
      <c r="X40" s="92" t="s">
        <v>66</v>
      </c>
      <c r="Y40" s="92" t="s">
        <v>66</v>
      </c>
      <c r="Z40" s="92" t="s">
        <v>66</v>
      </c>
      <c r="AA40" s="48" t="s">
        <v>67</v>
      </c>
      <c r="AB40" s="52">
        <v>21</v>
      </c>
      <c r="AC40" s="105">
        <f t="shared" si="6"/>
        <v>1592</v>
      </c>
      <c r="AD40" s="42" t="s">
        <v>66</v>
      </c>
      <c r="AE40" s="48" t="s">
        <v>67</v>
      </c>
      <c r="AF40" s="49" t="str">
        <f t="shared" si="7"/>
        <v>..</v>
      </c>
      <c r="AG40" s="36"/>
      <c r="AH40" s="32"/>
      <c r="AI40" s="108"/>
      <c r="AJ40" s="28"/>
      <c r="AK40" s="25"/>
      <c r="AL40" s="29"/>
      <c r="AM40" s="21"/>
      <c r="AN40" s="19" t="s">
        <v>66</v>
      </c>
      <c r="AO40" s="19" t="s">
        <v>66</v>
      </c>
      <c r="AP40" s="111" t="s">
        <v>66</v>
      </c>
      <c r="AQ40" s="19" t="s">
        <v>66</v>
      </c>
      <c r="AR40" s="19" t="s">
        <v>66</v>
      </c>
      <c r="AS40" s="112" t="s">
        <v>31</v>
      </c>
      <c r="AT40" s="112" t="s">
        <v>31</v>
      </c>
      <c r="AU40" s="19" t="s">
        <v>66</v>
      </c>
      <c r="AV40" s="19" t="s">
        <v>66</v>
      </c>
      <c r="AW40" s="19" t="s">
        <v>67</v>
      </c>
      <c r="AX40" s="19" t="s">
        <v>66</v>
      </c>
      <c r="AY40" s="19" t="s">
        <v>66</v>
      </c>
      <c r="AZ40" s="22" t="s">
        <v>67</v>
      </c>
      <c r="BA40" s="19" t="s">
        <v>67</v>
      </c>
      <c r="BB40" s="106" t="str">
        <f t="shared" si="4"/>
        <v>..</v>
      </c>
      <c r="BC40" s="21"/>
      <c r="BD40" s="70" t="s">
        <v>66</v>
      </c>
      <c r="BE40" s="70" t="s">
        <v>66</v>
      </c>
      <c r="BF40" s="114" t="str">
        <f t="shared" si="5"/>
        <v>..</v>
      </c>
      <c r="BG40" s="73"/>
      <c r="BH40" s="73"/>
      <c r="BI40" s="71" t="s">
        <v>66</v>
      </c>
      <c r="BJ40" s="71" t="s">
        <v>66</v>
      </c>
      <c r="BK40" s="71" t="s">
        <v>66</v>
      </c>
      <c r="BL40" s="116" t="s">
        <v>66</v>
      </c>
    </row>
    <row r="41" spans="1:64" s="13" customFormat="1" x14ac:dyDescent="0.2">
      <c r="A41" s="13" t="str">
        <f t="shared" si="0"/>
        <v>1976Q4</v>
      </c>
      <c r="B41" s="11">
        <f>B40</f>
        <v>1976</v>
      </c>
      <c r="C41" s="11" t="s">
        <v>4</v>
      </c>
      <c r="D41" s="43">
        <v>847</v>
      </c>
      <c r="E41" s="43">
        <v>898</v>
      </c>
      <c r="F41" s="87">
        <f t="shared" si="1"/>
        <v>1745</v>
      </c>
      <c r="G41" s="42" t="s">
        <v>66</v>
      </c>
      <c r="H41" s="42" t="s">
        <v>66</v>
      </c>
      <c r="I41" s="92" t="s">
        <v>66</v>
      </c>
      <c r="J41" s="92" t="s">
        <v>66</v>
      </c>
      <c r="K41" s="92" t="s">
        <v>66</v>
      </c>
      <c r="L41" s="42" t="s">
        <v>66</v>
      </c>
      <c r="M41" s="42" t="s">
        <v>66</v>
      </c>
      <c r="N41" s="42" t="s">
        <v>67</v>
      </c>
      <c r="O41" s="42" t="s">
        <v>67</v>
      </c>
      <c r="P41" s="42" t="s">
        <v>66</v>
      </c>
      <c r="Q41" s="98">
        <v>1861</v>
      </c>
      <c r="R41" s="42" t="s">
        <v>67</v>
      </c>
      <c r="S41" s="42" t="s">
        <v>66</v>
      </c>
      <c r="T41" s="92" t="s">
        <v>66</v>
      </c>
      <c r="U41" s="42" t="s">
        <v>66</v>
      </c>
      <c r="V41" s="92" t="s">
        <v>66</v>
      </c>
      <c r="W41" s="42" t="s">
        <v>66</v>
      </c>
      <c r="X41" s="92" t="s">
        <v>66</v>
      </c>
      <c r="Y41" s="92" t="s">
        <v>66</v>
      </c>
      <c r="Z41" s="92" t="s">
        <v>66</v>
      </c>
      <c r="AA41" s="48" t="s">
        <v>67</v>
      </c>
      <c r="AB41" s="52">
        <v>26</v>
      </c>
      <c r="AC41" s="105">
        <f t="shared" si="6"/>
        <v>1887</v>
      </c>
      <c r="AD41" s="42" t="s">
        <v>66</v>
      </c>
      <c r="AE41" s="48" t="s">
        <v>67</v>
      </c>
      <c r="AF41" s="49" t="str">
        <f t="shared" si="7"/>
        <v>..</v>
      </c>
      <c r="AG41" s="36"/>
      <c r="AH41" s="32"/>
      <c r="AI41" s="108"/>
      <c r="AJ41" s="28"/>
      <c r="AK41" s="25"/>
      <c r="AL41" s="29"/>
      <c r="AM41" s="21"/>
      <c r="AN41" s="19" t="s">
        <v>66</v>
      </c>
      <c r="AO41" s="19" t="s">
        <v>66</v>
      </c>
      <c r="AP41" s="111" t="s">
        <v>66</v>
      </c>
      <c r="AQ41" s="19" t="s">
        <v>66</v>
      </c>
      <c r="AR41" s="19" t="s">
        <v>66</v>
      </c>
      <c r="AS41" s="112" t="s">
        <v>31</v>
      </c>
      <c r="AT41" s="112" t="s">
        <v>31</v>
      </c>
      <c r="AU41" s="19" t="s">
        <v>66</v>
      </c>
      <c r="AV41" s="19" t="s">
        <v>66</v>
      </c>
      <c r="AW41" s="19" t="s">
        <v>67</v>
      </c>
      <c r="AX41" s="19" t="s">
        <v>66</v>
      </c>
      <c r="AY41" s="19" t="s">
        <v>66</v>
      </c>
      <c r="AZ41" s="22" t="s">
        <v>67</v>
      </c>
      <c r="BA41" s="19" t="s">
        <v>67</v>
      </c>
      <c r="BB41" s="106" t="str">
        <f t="shared" si="4"/>
        <v>..</v>
      </c>
      <c r="BC41" s="21"/>
      <c r="BD41" s="70" t="s">
        <v>66</v>
      </c>
      <c r="BE41" s="70" t="s">
        <v>66</v>
      </c>
      <c r="BF41" s="114" t="str">
        <f t="shared" si="5"/>
        <v>..</v>
      </c>
      <c r="BG41" s="73"/>
      <c r="BH41" s="73"/>
      <c r="BI41" s="71" t="s">
        <v>66</v>
      </c>
      <c r="BJ41" s="71" t="s">
        <v>66</v>
      </c>
      <c r="BK41" s="71" t="s">
        <v>66</v>
      </c>
      <c r="BL41" s="116" t="s">
        <v>66</v>
      </c>
    </row>
    <row r="42" spans="1:64" s="13" customFormat="1" x14ac:dyDescent="0.2">
      <c r="A42" s="13" t="str">
        <f t="shared" si="0"/>
        <v>1977Q1</v>
      </c>
      <c r="B42" s="11">
        <v>1977</v>
      </c>
      <c r="C42" s="63" t="s">
        <v>1</v>
      </c>
      <c r="D42" s="43">
        <v>653</v>
      </c>
      <c r="E42" s="43">
        <v>889</v>
      </c>
      <c r="F42" s="87">
        <f t="shared" si="1"/>
        <v>1542</v>
      </c>
      <c r="G42" s="42" t="s">
        <v>66</v>
      </c>
      <c r="H42" s="42" t="s">
        <v>66</v>
      </c>
      <c r="I42" s="92" t="s">
        <v>66</v>
      </c>
      <c r="J42" s="92" t="s">
        <v>66</v>
      </c>
      <c r="K42" s="92" t="s">
        <v>66</v>
      </c>
      <c r="L42" s="42" t="s">
        <v>66</v>
      </c>
      <c r="M42" s="42" t="s">
        <v>66</v>
      </c>
      <c r="N42" s="42" t="s">
        <v>67</v>
      </c>
      <c r="O42" s="42" t="s">
        <v>67</v>
      </c>
      <c r="P42" s="42" t="s">
        <v>66</v>
      </c>
      <c r="Q42" s="98">
        <v>1350</v>
      </c>
      <c r="R42" s="42" t="s">
        <v>67</v>
      </c>
      <c r="S42" s="42" t="s">
        <v>66</v>
      </c>
      <c r="T42" s="92" t="s">
        <v>66</v>
      </c>
      <c r="U42" s="42" t="s">
        <v>66</v>
      </c>
      <c r="V42" s="92" t="s">
        <v>66</v>
      </c>
      <c r="W42" s="42" t="s">
        <v>66</v>
      </c>
      <c r="X42" s="92" t="s">
        <v>66</v>
      </c>
      <c r="Y42" s="92" t="s">
        <v>66</v>
      </c>
      <c r="Z42" s="92" t="s">
        <v>66</v>
      </c>
      <c r="AA42" s="48" t="s">
        <v>67</v>
      </c>
      <c r="AB42" s="52">
        <v>23</v>
      </c>
      <c r="AC42" s="105">
        <f t="shared" si="6"/>
        <v>1373</v>
      </c>
      <c r="AD42" s="42" t="s">
        <v>66</v>
      </c>
      <c r="AE42" s="48" t="s">
        <v>67</v>
      </c>
      <c r="AF42" s="49" t="str">
        <f t="shared" si="7"/>
        <v>..</v>
      </c>
      <c r="AG42" s="36"/>
      <c r="AH42" s="32"/>
      <c r="AI42" s="108"/>
      <c r="AJ42" s="28"/>
      <c r="AK42" s="25"/>
      <c r="AL42" s="29"/>
      <c r="AM42" s="21"/>
      <c r="AN42" s="19" t="s">
        <v>66</v>
      </c>
      <c r="AO42" s="19" t="s">
        <v>66</v>
      </c>
      <c r="AP42" s="111" t="s">
        <v>66</v>
      </c>
      <c r="AQ42" s="19" t="s">
        <v>66</v>
      </c>
      <c r="AR42" s="19" t="s">
        <v>66</v>
      </c>
      <c r="AS42" s="112" t="s">
        <v>31</v>
      </c>
      <c r="AT42" s="112" t="s">
        <v>31</v>
      </c>
      <c r="AU42" s="19" t="s">
        <v>66</v>
      </c>
      <c r="AV42" s="19" t="s">
        <v>66</v>
      </c>
      <c r="AW42" s="19" t="s">
        <v>67</v>
      </c>
      <c r="AX42" s="19" t="s">
        <v>66</v>
      </c>
      <c r="AY42" s="19" t="s">
        <v>66</v>
      </c>
      <c r="AZ42" s="22" t="s">
        <v>67</v>
      </c>
      <c r="BA42" s="19" t="s">
        <v>67</v>
      </c>
      <c r="BB42" s="106" t="str">
        <f t="shared" si="4"/>
        <v>..</v>
      </c>
      <c r="BC42" s="21"/>
      <c r="BD42" s="70" t="s">
        <v>66</v>
      </c>
      <c r="BE42" s="70" t="s">
        <v>66</v>
      </c>
      <c r="BF42" s="114" t="str">
        <f t="shared" si="5"/>
        <v>..</v>
      </c>
      <c r="BG42" s="73"/>
      <c r="BH42" s="73"/>
      <c r="BI42" s="71" t="s">
        <v>66</v>
      </c>
      <c r="BJ42" s="71" t="s">
        <v>66</v>
      </c>
      <c r="BK42" s="71" t="s">
        <v>66</v>
      </c>
      <c r="BL42" s="116" t="s">
        <v>66</v>
      </c>
    </row>
    <row r="43" spans="1:64" s="13" customFormat="1" x14ac:dyDescent="0.2">
      <c r="A43" s="13" t="str">
        <f t="shared" si="0"/>
        <v>1977Q2</v>
      </c>
      <c r="B43" s="11">
        <f>B42</f>
        <v>1977</v>
      </c>
      <c r="C43" s="11" t="s">
        <v>2</v>
      </c>
      <c r="D43" s="43">
        <v>602</v>
      </c>
      <c r="E43" s="43">
        <v>931</v>
      </c>
      <c r="F43" s="87">
        <f t="shared" si="1"/>
        <v>1533</v>
      </c>
      <c r="G43" s="42" t="s">
        <v>66</v>
      </c>
      <c r="H43" s="42" t="s">
        <v>66</v>
      </c>
      <c r="I43" s="92" t="s">
        <v>66</v>
      </c>
      <c r="J43" s="92" t="s">
        <v>66</v>
      </c>
      <c r="K43" s="92" t="s">
        <v>66</v>
      </c>
      <c r="L43" s="42" t="s">
        <v>66</v>
      </c>
      <c r="M43" s="42" t="s">
        <v>66</v>
      </c>
      <c r="N43" s="42" t="s">
        <v>67</v>
      </c>
      <c r="O43" s="42" t="s">
        <v>67</v>
      </c>
      <c r="P43" s="42" t="s">
        <v>66</v>
      </c>
      <c r="Q43" s="98">
        <v>1067</v>
      </c>
      <c r="R43" s="42" t="s">
        <v>67</v>
      </c>
      <c r="S43" s="42" t="s">
        <v>66</v>
      </c>
      <c r="T43" s="92" t="s">
        <v>66</v>
      </c>
      <c r="U43" s="42" t="s">
        <v>66</v>
      </c>
      <c r="V43" s="92" t="s">
        <v>66</v>
      </c>
      <c r="W43" s="42" t="s">
        <v>66</v>
      </c>
      <c r="X43" s="92" t="s">
        <v>66</v>
      </c>
      <c r="Y43" s="92" t="s">
        <v>66</v>
      </c>
      <c r="Z43" s="92" t="s">
        <v>66</v>
      </c>
      <c r="AA43" s="48" t="s">
        <v>67</v>
      </c>
      <c r="AB43" s="52">
        <v>25</v>
      </c>
      <c r="AC43" s="105">
        <f t="shared" si="6"/>
        <v>1092</v>
      </c>
      <c r="AD43" s="42" t="s">
        <v>66</v>
      </c>
      <c r="AE43" s="48" t="s">
        <v>67</v>
      </c>
      <c r="AF43" s="49" t="str">
        <f t="shared" si="7"/>
        <v>..</v>
      </c>
      <c r="AG43" s="36"/>
      <c r="AH43" s="32"/>
      <c r="AI43" s="108"/>
      <c r="AJ43" s="28"/>
      <c r="AK43" s="25"/>
      <c r="AL43" s="29"/>
      <c r="AM43" s="21"/>
      <c r="AN43" s="19" t="s">
        <v>66</v>
      </c>
      <c r="AO43" s="19" t="s">
        <v>66</v>
      </c>
      <c r="AP43" s="111" t="s">
        <v>66</v>
      </c>
      <c r="AQ43" s="19" t="s">
        <v>66</v>
      </c>
      <c r="AR43" s="19" t="s">
        <v>66</v>
      </c>
      <c r="AS43" s="112" t="s">
        <v>31</v>
      </c>
      <c r="AT43" s="112" t="s">
        <v>31</v>
      </c>
      <c r="AU43" s="19" t="s">
        <v>66</v>
      </c>
      <c r="AV43" s="19" t="s">
        <v>66</v>
      </c>
      <c r="AW43" s="19" t="s">
        <v>67</v>
      </c>
      <c r="AX43" s="19" t="s">
        <v>66</v>
      </c>
      <c r="AY43" s="19" t="s">
        <v>66</v>
      </c>
      <c r="AZ43" s="22" t="s">
        <v>67</v>
      </c>
      <c r="BA43" s="19" t="s">
        <v>67</v>
      </c>
      <c r="BB43" s="106" t="str">
        <f t="shared" si="4"/>
        <v>..</v>
      </c>
      <c r="BC43" s="21"/>
      <c r="BD43" s="70" t="s">
        <v>66</v>
      </c>
      <c r="BE43" s="70" t="s">
        <v>66</v>
      </c>
      <c r="BF43" s="114" t="str">
        <f t="shared" si="5"/>
        <v>..</v>
      </c>
      <c r="BG43" s="73"/>
      <c r="BH43" s="73"/>
      <c r="BI43" s="71" t="s">
        <v>66</v>
      </c>
      <c r="BJ43" s="71" t="s">
        <v>66</v>
      </c>
      <c r="BK43" s="71" t="s">
        <v>66</v>
      </c>
      <c r="BL43" s="116" t="s">
        <v>66</v>
      </c>
    </row>
    <row r="44" spans="1:64" s="13" customFormat="1" x14ac:dyDescent="0.2">
      <c r="A44" s="13" t="str">
        <f t="shared" si="0"/>
        <v>1977Q3</v>
      </c>
      <c r="B44" s="11">
        <f>B43</f>
        <v>1977</v>
      </c>
      <c r="C44" s="11" t="s">
        <v>3</v>
      </c>
      <c r="D44" s="43">
        <v>336</v>
      </c>
      <c r="E44" s="43">
        <v>789</v>
      </c>
      <c r="F44" s="87">
        <f t="shared" si="1"/>
        <v>1125</v>
      </c>
      <c r="G44" s="42" t="s">
        <v>66</v>
      </c>
      <c r="H44" s="42" t="s">
        <v>66</v>
      </c>
      <c r="I44" s="92" t="s">
        <v>66</v>
      </c>
      <c r="J44" s="92" t="s">
        <v>66</v>
      </c>
      <c r="K44" s="92" t="s">
        <v>66</v>
      </c>
      <c r="L44" s="42" t="s">
        <v>66</v>
      </c>
      <c r="M44" s="42" t="s">
        <v>66</v>
      </c>
      <c r="N44" s="42" t="s">
        <v>67</v>
      </c>
      <c r="O44" s="42" t="s">
        <v>67</v>
      </c>
      <c r="P44" s="42" t="s">
        <v>66</v>
      </c>
      <c r="Q44" s="98">
        <v>980</v>
      </c>
      <c r="R44" s="42" t="s">
        <v>67</v>
      </c>
      <c r="S44" s="42" t="s">
        <v>66</v>
      </c>
      <c r="T44" s="92" t="s">
        <v>66</v>
      </c>
      <c r="U44" s="42" t="s">
        <v>66</v>
      </c>
      <c r="V44" s="92" t="s">
        <v>66</v>
      </c>
      <c r="W44" s="42" t="s">
        <v>66</v>
      </c>
      <c r="X44" s="92" t="s">
        <v>66</v>
      </c>
      <c r="Y44" s="92" t="s">
        <v>66</v>
      </c>
      <c r="Z44" s="92" t="s">
        <v>66</v>
      </c>
      <c r="AA44" s="48" t="s">
        <v>67</v>
      </c>
      <c r="AB44" s="52">
        <v>22</v>
      </c>
      <c r="AC44" s="105">
        <f t="shared" si="6"/>
        <v>1002</v>
      </c>
      <c r="AD44" s="42" t="s">
        <v>66</v>
      </c>
      <c r="AE44" s="48" t="s">
        <v>67</v>
      </c>
      <c r="AF44" s="49" t="str">
        <f t="shared" si="7"/>
        <v>..</v>
      </c>
      <c r="AG44" s="36"/>
      <c r="AH44" s="32"/>
      <c r="AI44" s="108"/>
      <c r="AJ44" s="28"/>
      <c r="AK44" s="25"/>
      <c r="AL44" s="29"/>
      <c r="AM44" s="21"/>
      <c r="AN44" s="19" t="s">
        <v>66</v>
      </c>
      <c r="AO44" s="19" t="s">
        <v>66</v>
      </c>
      <c r="AP44" s="111" t="s">
        <v>66</v>
      </c>
      <c r="AQ44" s="19" t="s">
        <v>66</v>
      </c>
      <c r="AR44" s="19" t="s">
        <v>66</v>
      </c>
      <c r="AS44" s="112" t="s">
        <v>31</v>
      </c>
      <c r="AT44" s="112" t="s">
        <v>31</v>
      </c>
      <c r="AU44" s="19" t="s">
        <v>66</v>
      </c>
      <c r="AV44" s="19" t="s">
        <v>66</v>
      </c>
      <c r="AW44" s="19" t="s">
        <v>67</v>
      </c>
      <c r="AX44" s="19" t="s">
        <v>66</v>
      </c>
      <c r="AY44" s="19" t="s">
        <v>66</v>
      </c>
      <c r="AZ44" s="22" t="s">
        <v>67</v>
      </c>
      <c r="BA44" s="19" t="s">
        <v>67</v>
      </c>
      <c r="BB44" s="106" t="str">
        <f t="shared" si="4"/>
        <v>..</v>
      </c>
      <c r="BC44" s="21"/>
      <c r="BD44" s="70" t="s">
        <v>66</v>
      </c>
      <c r="BE44" s="70" t="s">
        <v>66</v>
      </c>
      <c r="BF44" s="114" t="str">
        <f t="shared" si="5"/>
        <v>..</v>
      </c>
      <c r="BG44" s="73"/>
      <c r="BH44" s="73"/>
      <c r="BI44" s="71" t="s">
        <v>66</v>
      </c>
      <c r="BJ44" s="71" t="s">
        <v>66</v>
      </c>
      <c r="BK44" s="71" t="s">
        <v>66</v>
      </c>
      <c r="BL44" s="116" t="s">
        <v>66</v>
      </c>
    </row>
    <row r="45" spans="1:64" s="13" customFormat="1" x14ac:dyDescent="0.2">
      <c r="A45" s="13" t="str">
        <f t="shared" si="0"/>
        <v>1977Q4</v>
      </c>
      <c r="B45" s="11">
        <f>B44</f>
        <v>1977</v>
      </c>
      <c r="C45" s="11" t="s">
        <v>4</v>
      </c>
      <c r="D45" s="43">
        <v>834</v>
      </c>
      <c r="E45" s="43">
        <v>797</v>
      </c>
      <c r="F45" s="87">
        <f t="shared" si="1"/>
        <v>1631</v>
      </c>
      <c r="G45" s="42" t="s">
        <v>66</v>
      </c>
      <c r="H45" s="42" t="s">
        <v>66</v>
      </c>
      <c r="I45" s="92" t="s">
        <v>66</v>
      </c>
      <c r="J45" s="92" t="s">
        <v>66</v>
      </c>
      <c r="K45" s="92" t="s">
        <v>66</v>
      </c>
      <c r="L45" s="42" t="s">
        <v>66</v>
      </c>
      <c r="M45" s="42" t="s">
        <v>66</v>
      </c>
      <c r="N45" s="42" t="s">
        <v>67</v>
      </c>
      <c r="O45" s="42" t="s">
        <v>67</v>
      </c>
      <c r="P45" s="42" t="s">
        <v>66</v>
      </c>
      <c r="Q45" s="98">
        <v>1006</v>
      </c>
      <c r="R45" s="42" t="s">
        <v>67</v>
      </c>
      <c r="S45" s="42" t="s">
        <v>66</v>
      </c>
      <c r="T45" s="92" t="s">
        <v>66</v>
      </c>
      <c r="U45" s="42" t="s">
        <v>66</v>
      </c>
      <c r="V45" s="92" t="s">
        <v>66</v>
      </c>
      <c r="W45" s="42" t="s">
        <v>66</v>
      </c>
      <c r="X45" s="92" t="s">
        <v>66</v>
      </c>
      <c r="Y45" s="92" t="s">
        <v>66</v>
      </c>
      <c r="Z45" s="92" t="s">
        <v>66</v>
      </c>
      <c r="AA45" s="48" t="s">
        <v>67</v>
      </c>
      <c r="AB45" s="52">
        <v>12</v>
      </c>
      <c r="AC45" s="105">
        <f t="shared" si="6"/>
        <v>1018</v>
      </c>
      <c r="AD45" s="42" t="s">
        <v>66</v>
      </c>
      <c r="AE45" s="48" t="s">
        <v>67</v>
      </c>
      <c r="AF45" s="49" t="str">
        <f t="shared" si="7"/>
        <v>..</v>
      </c>
      <c r="AG45" s="36"/>
      <c r="AH45" s="32"/>
      <c r="AI45" s="108"/>
      <c r="AJ45" s="28"/>
      <c r="AK45" s="25"/>
      <c r="AL45" s="29"/>
      <c r="AM45" s="21"/>
      <c r="AN45" s="19" t="s">
        <v>66</v>
      </c>
      <c r="AO45" s="19" t="s">
        <v>66</v>
      </c>
      <c r="AP45" s="111" t="s">
        <v>66</v>
      </c>
      <c r="AQ45" s="19" t="s">
        <v>66</v>
      </c>
      <c r="AR45" s="19" t="s">
        <v>66</v>
      </c>
      <c r="AS45" s="112" t="s">
        <v>31</v>
      </c>
      <c r="AT45" s="112" t="s">
        <v>31</v>
      </c>
      <c r="AU45" s="19" t="s">
        <v>66</v>
      </c>
      <c r="AV45" s="19" t="s">
        <v>66</v>
      </c>
      <c r="AW45" s="19" t="s">
        <v>67</v>
      </c>
      <c r="AX45" s="19" t="s">
        <v>66</v>
      </c>
      <c r="AY45" s="19" t="s">
        <v>66</v>
      </c>
      <c r="AZ45" s="22" t="s">
        <v>67</v>
      </c>
      <c r="BA45" s="19" t="s">
        <v>67</v>
      </c>
      <c r="BB45" s="106" t="str">
        <f t="shared" si="4"/>
        <v>..</v>
      </c>
      <c r="BC45" s="21"/>
      <c r="BD45" s="70" t="s">
        <v>66</v>
      </c>
      <c r="BE45" s="70" t="s">
        <v>66</v>
      </c>
      <c r="BF45" s="114" t="str">
        <f t="shared" si="5"/>
        <v>..</v>
      </c>
      <c r="BG45" s="73"/>
      <c r="BH45" s="73"/>
      <c r="BI45" s="71" t="s">
        <v>66</v>
      </c>
      <c r="BJ45" s="71" t="s">
        <v>66</v>
      </c>
      <c r="BK45" s="71" t="s">
        <v>66</v>
      </c>
      <c r="BL45" s="116" t="s">
        <v>66</v>
      </c>
    </row>
    <row r="46" spans="1:64" s="13" customFormat="1" x14ac:dyDescent="0.2">
      <c r="A46" s="13" t="str">
        <f t="shared" si="0"/>
        <v>1978Q1</v>
      </c>
      <c r="B46" s="11">
        <v>1978</v>
      </c>
      <c r="C46" s="63" t="s">
        <v>1</v>
      </c>
      <c r="D46" s="43">
        <v>549</v>
      </c>
      <c r="E46" s="43">
        <v>792</v>
      </c>
      <c r="F46" s="87">
        <f t="shared" si="1"/>
        <v>1341</v>
      </c>
      <c r="G46" s="42" t="s">
        <v>66</v>
      </c>
      <c r="H46" s="42" t="s">
        <v>66</v>
      </c>
      <c r="I46" s="92" t="s">
        <v>66</v>
      </c>
      <c r="J46" s="92" t="s">
        <v>66</v>
      </c>
      <c r="K46" s="92" t="s">
        <v>66</v>
      </c>
      <c r="L46" s="42" t="s">
        <v>66</v>
      </c>
      <c r="M46" s="42" t="s">
        <v>66</v>
      </c>
      <c r="N46" s="42" t="s">
        <v>67</v>
      </c>
      <c r="O46" s="42" t="s">
        <v>67</v>
      </c>
      <c r="P46" s="42" t="s">
        <v>66</v>
      </c>
      <c r="Q46" s="98">
        <v>1027</v>
      </c>
      <c r="R46" s="42" t="s">
        <v>67</v>
      </c>
      <c r="S46" s="42" t="s">
        <v>66</v>
      </c>
      <c r="T46" s="92" t="s">
        <v>66</v>
      </c>
      <c r="U46" s="42" t="s">
        <v>66</v>
      </c>
      <c r="V46" s="92" t="s">
        <v>66</v>
      </c>
      <c r="W46" s="42" t="s">
        <v>66</v>
      </c>
      <c r="X46" s="92" t="s">
        <v>66</v>
      </c>
      <c r="Y46" s="92" t="s">
        <v>66</v>
      </c>
      <c r="Z46" s="92" t="s">
        <v>66</v>
      </c>
      <c r="AA46" s="48" t="s">
        <v>67</v>
      </c>
      <c r="AB46" s="52">
        <v>15</v>
      </c>
      <c r="AC46" s="105">
        <f t="shared" si="6"/>
        <v>1042</v>
      </c>
      <c r="AD46" s="42" t="s">
        <v>66</v>
      </c>
      <c r="AE46" s="48" t="s">
        <v>67</v>
      </c>
      <c r="AF46" s="49" t="str">
        <f t="shared" si="7"/>
        <v>..</v>
      </c>
      <c r="AG46" s="36"/>
      <c r="AH46" s="32"/>
      <c r="AI46" s="108"/>
      <c r="AJ46" s="28"/>
      <c r="AK46" s="25"/>
      <c r="AL46" s="29"/>
      <c r="AM46" s="21"/>
      <c r="AN46" s="19" t="s">
        <v>66</v>
      </c>
      <c r="AO46" s="19" t="s">
        <v>66</v>
      </c>
      <c r="AP46" s="111" t="s">
        <v>66</v>
      </c>
      <c r="AQ46" s="19" t="s">
        <v>66</v>
      </c>
      <c r="AR46" s="19" t="s">
        <v>66</v>
      </c>
      <c r="AS46" s="112" t="s">
        <v>31</v>
      </c>
      <c r="AT46" s="112" t="s">
        <v>31</v>
      </c>
      <c r="AU46" s="19" t="s">
        <v>66</v>
      </c>
      <c r="AV46" s="19" t="s">
        <v>66</v>
      </c>
      <c r="AW46" s="19" t="s">
        <v>67</v>
      </c>
      <c r="AX46" s="19" t="s">
        <v>66</v>
      </c>
      <c r="AY46" s="19" t="s">
        <v>66</v>
      </c>
      <c r="AZ46" s="22" t="s">
        <v>67</v>
      </c>
      <c r="BA46" s="19" t="s">
        <v>67</v>
      </c>
      <c r="BB46" s="106" t="str">
        <f t="shared" si="4"/>
        <v>..</v>
      </c>
      <c r="BC46" s="21"/>
      <c r="BD46" s="70" t="s">
        <v>66</v>
      </c>
      <c r="BE46" s="70" t="s">
        <v>66</v>
      </c>
      <c r="BF46" s="114" t="str">
        <f t="shared" si="5"/>
        <v>..</v>
      </c>
      <c r="BG46" s="73"/>
      <c r="BH46" s="73"/>
      <c r="BI46" s="71" t="s">
        <v>66</v>
      </c>
      <c r="BJ46" s="71" t="s">
        <v>66</v>
      </c>
      <c r="BK46" s="71" t="s">
        <v>66</v>
      </c>
      <c r="BL46" s="116" t="s">
        <v>66</v>
      </c>
    </row>
    <row r="47" spans="1:64" s="13" customFormat="1" x14ac:dyDescent="0.2">
      <c r="A47" s="13" t="str">
        <f t="shared" si="0"/>
        <v>1978Q2</v>
      </c>
      <c r="B47" s="11">
        <f>B46</f>
        <v>1978</v>
      </c>
      <c r="C47" s="11" t="s">
        <v>2</v>
      </c>
      <c r="D47" s="43">
        <v>610</v>
      </c>
      <c r="E47" s="43">
        <v>763</v>
      </c>
      <c r="F47" s="87">
        <f t="shared" si="1"/>
        <v>1373</v>
      </c>
      <c r="G47" s="42" t="s">
        <v>66</v>
      </c>
      <c r="H47" s="42" t="s">
        <v>66</v>
      </c>
      <c r="I47" s="92" t="s">
        <v>66</v>
      </c>
      <c r="J47" s="92" t="s">
        <v>66</v>
      </c>
      <c r="K47" s="92" t="s">
        <v>66</v>
      </c>
      <c r="L47" s="42" t="s">
        <v>66</v>
      </c>
      <c r="M47" s="42" t="s">
        <v>66</v>
      </c>
      <c r="N47" s="42" t="s">
        <v>67</v>
      </c>
      <c r="O47" s="42" t="s">
        <v>67</v>
      </c>
      <c r="P47" s="42" t="s">
        <v>66</v>
      </c>
      <c r="Q47" s="98">
        <v>1028</v>
      </c>
      <c r="R47" s="42" t="s">
        <v>67</v>
      </c>
      <c r="S47" s="42" t="s">
        <v>66</v>
      </c>
      <c r="T47" s="92" t="s">
        <v>66</v>
      </c>
      <c r="U47" s="42" t="s">
        <v>66</v>
      </c>
      <c r="V47" s="92" t="s">
        <v>66</v>
      </c>
      <c r="W47" s="42" t="s">
        <v>66</v>
      </c>
      <c r="X47" s="92" t="s">
        <v>66</v>
      </c>
      <c r="Y47" s="92" t="s">
        <v>66</v>
      </c>
      <c r="Z47" s="92" t="s">
        <v>66</v>
      </c>
      <c r="AA47" s="48" t="s">
        <v>67</v>
      </c>
      <c r="AB47" s="52">
        <v>22</v>
      </c>
      <c r="AC47" s="105">
        <f t="shared" si="6"/>
        <v>1050</v>
      </c>
      <c r="AD47" s="42" t="s">
        <v>66</v>
      </c>
      <c r="AE47" s="48" t="s">
        <v>67</v>
      </c>
      <c r="AF47" s="49" t="str">
        <f t="shared" si="7"/>
        <v>..</v>
      </c>
      <c r="AG47" s="36"/>
      <c r="AH47" s="32"/>
      <c r="AI47" s="108"/>
      <c r="AJ47" s="28"/>
      <c r="AK47" s="25"/>
      <c r="AL47" s="29"/>
      <c r="AM47" s="21"/>
      <c r="AN47" s="19" t="s">
        <v>66</v>
      </c>
      <c r="AO47" s="19" t="s">
        <v>66</v>
      </c>
      <c r="AP47" s="111" t="s">
        <v>66</v>
      </c>
      <c r="AQ47" s="19" t="s">
        <v>66</v>
      </c>
      <c r="AR47" s="19" t="s">
        <v>66</v>
      </c>
      <c r="AS47" s="112" t="s">
        <v>31</v>
      </c>
      <c r="AT47" s="112" t="s">
        <v>31</v>
      </c>
      <c r="AU47" s="19" t="s">
        <v>66</v>
      </c>
      <c r="AV47" s="19" t="s">
        <v>66</v>
      </c>
      <c r="AW47" s="19" t="s">
        <v>67</v>
      </c>
      <c r="AX47" s="19" t="s">
        <v>66</v>
      </c>
      <c r="AY47" s="19" t="s">
        <v>66</v>
      </c>
      <c r="AZ47" s="22" t="s">
        <v>67</v>
      </c>
      <c r="BA47" s="19" t="s">
        <v>67</v>
      </c>
      <c r="BB47" s="106" t="str">
        <f t="shared" si="4"/>
        <v>..</v>
      </c>
      <c r="BC47" s="21"/>
      <c r="BD47" s="70" t="s">
        <v>66</v>
      </c>
      <c r="BE47" s="70" t="s">
        <v>66</v>
      </c>
      <c r="BF47" s="114" t="str">
        <f t="shared" si="5"/>
        <v>..</v>
      </c>
      <c r="BG47" s="73"/>
      <c r="BH47" s="73"/>
      <c r="BI47" s="71" t="s">
        <v>66</v>
      </c>
      <c r="BJ47" s="71" t="s">
        <v>66</v>
      </c>
      <c r="BK47" s="71" t="s">
        <v>66</v>
      </c>
      <c r="BL47" s="116" t="s">
        <v>66</v>
      </c>
    </row>
    <row r="48" spans="1:64" s="13" customFormat="1" x14ac:dyDescent="0.2">
      <c r="A48" s="13" t="str">
        <f t="shared" si="0"/>
        <v>1978Q3</v>
      </c>
      <c r="B48" s="11">
        <f>B47</f>
        <v>1978</v>
      </c>
      <c r="C48" s="11" t="s">
        <v>3</v>
      </c>
      <c r="D48" s="43">
        <v>281</v>
      </c>
      <c r="E48" s="43">
        <v>696</v>
      </c>
      <c r="F48" s="87">
        <f t="shared" si="1"/>
        <v>977</v>
      </c>
      <c r="G48" s="42" t="s">
        <v>66</v>
      </c>
      <c r="H48" s="42" t="s">
        <v>66</v>
      </c>
      <c r="I48" s="92" t="s">
        <v>66</v>
      </c>
      <c r="J48" s="92" t="s">
        <v>66</v>
      </c>
      <c r="K48" s="92" t="s">
        <v>66</v>
      </c>
      <c r="L48" s="42" t="s">
        <v>66</v>
      </c>
      <c r="M48" s="42" t="s">
        <v>66</v>
      </c>
      <c r="N48" s="42" t="s">
        <v>67</v>
      </c>
      <c r="O48" s="42" t="s">
        <v>67</v>
      </c>
      <c r="P48" s="42" t="s">
        <v>66</v>
      </c>
      <c r="Q48" s="98">
        <v>762</v>
      </c>
      <c r="R48" s="42" t="s">
        <v>67</v>
      </c>
      <c r="S48" s="42" t="s">
        <v>66</v>
      </c>
      <c r="T48" s="92" t="s">
        <v>66</v>
      </c>
      <c r="U48" s="42" t="s">
        <v>66</v>
      </c>
      <c r="V48" s="92" t="s">
        <v>66</v>
      </c>
      <c r="W48" s="42" t="s">
        <v>66</v>
      </c>
      <c r="X48" s="92" t="s">
        <v>66</v>
      </c>
      <c r="Y48" s="92" t="s">
        <v>66</v>
      </c>
      <c r="Z48" s="92" t="s">
        <v>66</v>
      </c>
      <c r="AA48" s="48" t="s">
        <v>67</v>
      </c>
      <c r="AB48" s="52">
        <v>12</v>
      </c>
      <c r="AC48" s="105">
        <f t="shared" si="6"/>
        <v>774</v>
      </c>
      <c r="AD48" s="42" t="s">
        <v>66</v>
      </c>
      <c r="AE48" s="48" t="s">
        <v>67</v>
      </c>
      <c r="AF48" s="49" t="str">
        <f t="shared" si="7"/>
        <v>..</v>
      </c>
      <c r="AG48" s="36"/>
      <c r="AH48" s="32"/>
      <c r="AI48" s="108"/>
      <c r="AJ48" s="28"/>
      <c r="AK48" s="25"/>
      <c r="AL48" s="29"/>
      <c r="AM48" s="21"/>
      <c r="AN48" s="19" t="s">
        <v>66</v>
      </c>
      <c r="AO48" s="19" t="s">
        <v>66</v>
      </c>
      <c r="AP48" s="111" t="s">
        <v>66</v>
      </c>
      <c r="AQ48" s="19" t="s">
        <v>66</v>
      </c>
      <c r="AR48" s="19" t="s">
        <v>66</v>
      </c>
      <c r="AS48" s="112" t="s">
        <v>31</v>
      </c>
      <c r="AT48" s="112" t="s">
        <v>31</v>
      </c>
      <c r="AU48" s="19" t="s">
        <v>66</v>
      </c>
      <c r="AV48" s="19" t="s">
        <v>66</v>
      </c>
      <c r="AW48" s="19" t="s">
        <v>67</v>
      </c>
      <c r="AX48" s="19" t="s">
        <v>66</v>
      </c>
      <c r="AY48" s="19" t="s">
        <v>66</v>
      </c>
      <c r="AZ48" s="22" t="s">
        <v>67</v>
      </c>
      <c r="BA48" s="19" t="s">
        <v>67</v>
      </c>
      <c r="BB48" s="106" t="str">
        <f t="shared" si="4"/>
        <v>..</v>
      </c>
      <c r="BC48" s="21"/>
      <c r="BD48" s="70" t="s">
        <v>66</v>
      </c>
      <c r="BE48" s="70" t="s">
        <v>66</v>
      </c>
      <c r="BF48" s="114" t="str">
        <f t="shared" si="5"/>
        <v>..</v>
      </c>
      <c r="BG48" s="73"/>
      <c r="BH48" s="73"/>
      <c r="BI48" s="71" t="s">
        <v>66</v>
      </c>
      <c r="BJ48" s="71" t="s">
        <v>66</v>
      </c>
      <c r="BK48" s="71" t="s">
        <v>66</v>
      </c>
      <c r="BL48" s="116" t="s">
        <v>66</v>
      </c>
    </row>
    <row r="49" spans="1:64" s="13" customFormat="1" x14ac:dyDescent="0.2">
      <c r="A49" s="13" t="str">
        <f t="shared" si="0"/>
        <v>1978Q4</v>
      </c>
      <c r="B49" s="11">
        <f>B48</f>
        <v>1978</v>
      </c>
      <c r="C49" s="11" t="s">
        <v>4</v>
      </c>
      <c r="D49" s="43">
        <v>825</v>
      </c>
      <c r="E49" s="43">
        <v>570</v>
      </c>
      <c r="F49" s="87">
        <f t="shared" si="1"/>
        <v>1395</v>
      </c>
      <c r="G49" s="42" t="s">
        <v>66</v>
      </c>
      <c r="H49" s="42" t="s">
        <v>66</v>
      </c>
      <c r="I49" s="92" t="s">
        <v>66</v>
      </c>
      <c r="J49" s="92" t="s">
        <v>66</v>
      </c>
      <c r="K49" s="92" t="s">
        <v>66</v>
      </c>
      <c r="L49" s="42" t="s">
        <v>66</v>
      </c>
      <c r="M49" s="42" t="s">
        <v>66</v>
      </c>
      <c r="N49" s="42" t="s">
        <v>67</v>
      </c>
      <c r="O49" s="42" t="s">
        <v>67</v>
      </c>
      <c r="P49" s="42" t="s">
        <v>66</v>
      </c>
      <c r="Q49" s="98">
        <v>1009</v>
      </c>
      <c r="R49" s="42" t="s">
        <v>67</v>
      </c>
      <c r="S49" s="42" t="s">
        <v>66</v>
      </c>
      <c r="T49" s="92" t="s">
        <v>66</v>
      </c>
      <c r="U49" s="42" t="s">
        <v>66</v>
      </c>
      <c r="V49" s="92" t="s">
        <v>66</v>
      </c>
      <c r="W49" s="42" t="s">
        <v>66</v>
      </c>
      <c r="X49" s="92" t="s">
        <v>66</v>
      </c>
      <c r="Y49" s="92" t="s">
        <v>66</v>
      </c>
      <c r="Z49" s="92" t="s">
        <v>66</v>
      </c>
      <c r="AA49" s="48" t="s">
        <v>67</v>
      </c>
      <c r="AB49" s="52">
        <v>27</v>
      </c>
      <c r="AC49" s="105">
        <f t="shared" si="6"/>
        <v>1036</v>
      </c>
      <c r="AD49" s="42" t="s">
        <v>66</v>
      </c>
      <c r="AE49" s="48" t="s">
        <v>67</v>
      </c>
      <c r="AF49" s="49" t="str">
        <f t="shared" si="7"/>
        <v>..</v>
      </c>
      <c r="AG49" s="36"/>
      <c r="AH49" s="32"/>
      <c r="AI49" s="108"/>
      <c r="AJ49" s="28"/>
      <c r="AK49" s="25"/>
      <c r="AL49" s="29"/>
      <c r="AM49" s="21"/>
      <c r="AN49" s="19" t="s">
        <v>66</v>
      </c>
      <c r="AO49" s="19" t="s">
        <v>66</v>
      </c>
      <c r="AP49" s="111" t="s">
        <v>66</v>
      </c>
      <c r="AQ49" s="19" t="s">
        <v>66</v>
      </c>
      <c r="AR49" s="19" t="s">
        <v>66</v>
      </c>
      <c r="AS49" s="112" t="s">
        <v>31</v>
      </c>
      <c r="AT49" s="112" t="s">
        <v>31</v>
      </c>
      <c r="AU49" s="19" t="s">
        <v>66</v>
      </c>
      <c r="AV49" s="19" t="s">
        <v>66</v>
      </c>
      <c r="AW49" s="19" t="s">
        <v>67</v>
      </c>
      <c r="AX49" s="19" t="s">
        <v>66</v>
      </c>
      <c r="AY49" s="19" t="s">
        <v>66</v>
      </c>
      <c r="AZ49" s="22" t="s">
        <v>67</v>
      </c>
      <c r="BA49" s="19" t="s">
        <v>67</v>
      </c>
      <c r="BB49" s="106" t="str">
        <f t="shared" si="4"/>
        <v>..</v>
      </c>
      <c r="BC49" s="21"/>
      <c r="BD49" s="70" t="s">
        <v>66</v>
      </c>
      <c r="BE49" s="70" t="s">
        <v>66</v>
      </c>
      <c r="BF49" s="114" t="str">
        <f t="shared" si="5"/>
        <v>..</v>
      </c>
      <c r="BG49" s="73"/>
      <c r="BH49" s="73"/>
      <c r="BI49" s="71" t="s">
        <v>66</v>
      </c>
      <c r="BJ49" s="71" t="s">
        <v>66</v>
      </c>
      <c r="BK49" s="71" t="s">
        <v>66</v>
      </c>
      <c r="BL49" s="116" t="s">
        <v>66</v>
      </c>
    </row>
    <row r="50" spans="1:64" s="13" customFormat="1" x14ac:dyDescent="0.2">
      <c r="A50" s="13" t="str">
        <f t="shared" si="0"/>
        <v>1979Q1</v>
      </c>
      <c r="B50" s="11">
        <v>1979</v>
      </c>
      <c r="C50" s="63" t="s">
        <v>1</v>
      </c>
      <c r="D50" s="43">
        <v>599</v>
      </c>
      <c r="E50" s="43">
        <v>675</v>
      </c>
      <c r="F50" s="87">
        <f t="shared" si="1"/>
        <v>1274</v>
      </c>
      <c r="G50" s="42" t="s">
        <v>66</v>
      </c>
      <c r="H50" s="42" t="s">
        <v>66</v>
      </c>
      <c r="I50" s="92" t="s">
        <v>66</v>
      </c>
      <c r="J50" s="92" t="s">
        <v>66</v>
      </c>
      <c r="K50" s="92" t="s">
        <v>66</v>
      </c>
      <c r="L50" s="42" t="s">
        <v>66</v>
      </c>
      <c r="M50" s="42" t="s">
        <v>66</v>
      </c>
      <c r="N50" s="42" t="s">
        <v>67</v>
      </c>
      <c r="O50" s="42" t="s">
        <v>67</v>
      </c>
      <c r="P50" s="42" t="s">
        <v>66</v>
      </c>
      <c r="Q50" s="98">
        <v>955</v>
      </c>
      <c r="R50" s="42" t="s">
        <v>67</v>
      </c>
      <c r="S50" s="42" t="s">
        <v>66</v>
      </c>
      <c r="T50" s="92" t="s">
        <v>66</v>
      </c>
      <c r="U50" s="42" t="s">
        <v>66</v>
      </c>
      <c r="V50" s="92" t="s">
        <v>66</v>
      </c>
      <c r="W50" s="42" t="s">
        <v>66</v>
      </c>
      <c r="X50" s="92" t="s">
        <v>66</v>
      </c>
      <c r="Y50" s="92" t="s">
        <v>66</v>
      </c>
      <c r="Z50" s="92" t="s">
        <v>66</v>
      </c>
      <c r="AA50" s="48" t="s">
        <v>67</v>
      </c>
      <c r="AB50" s="52">
        <v>18</v>
      </c>
      <c r="AC50" s="105">
        <f t="shared" si="6"/>
        <v>973</v>
      </c>
      <c r="AD50" s="42" t="s">
        <v>66</v>
      </c>
      <c r="AE50" s="48" t="s">
        <v>67</v>
      </c>
      <c r="AF50" s="49" t="str">
        <f t="shared" si="7"/>
        <v>..</v>
      </c>
      <c r="AG50" s="36"/>
      <c r="AH50" s="32"/>
      <c r="AI50" s="108"/>
      <c r="AJ50" s="28"/>
      <c r="AK50" s="25"/>
      <c r="AL50" s="29"/>
      <c r="AM50" s="21"/>
      <c r="AN50" s="19" t="s">
        <v>66</v>
      </c>
      <c r="AO50" s="19" t="s">
        <v>66</v>
      </c>
      <c r="AP50" s="111" t="s">
        <v>66</v>
      </c>
      <c r="AQ50" s="19" t="s">
        <v>66</v>
      </c>
      <c r="AR50" s="19" t="s">
        <v>66</v>
      </c>
      <c r="AS50" s="112" t="s">
        <v>31</v>
      </c>
      <c r="AT50" s="112" t="s">
        <v>31</v>
      </c>
      <c r="AU50" s="19" t="s">
        <v>66</v>
      </c>
      <c r="AV50" s="19" t="s">
        <v>66</v>
      </c>
      <c r="AW50" s="19" t="s">
        <v>67</v>
      </c>
      <c r="AX50" s="19" t="s">
        <v>66</v>
      </c>
      <c r="AY50" s="19" t="s">
        <v>66</v>
      </c>
      <c r="AZ50" s="22" t="s">
        <v>67</v>
      </c>
      <c r="BA50" s="19" t="s">
        <v>67</v>
      </c>
      <c r="BB50" s="106" t="str">
        <f t="shared" si="4"/>
        <v>..</v>
      </c>
      <c r="BC50" s="21"/>
      <c r="BD50" s="70" t="s">
        <v>66</v>
      </c>
      <c r="BE50" s="70" t="s">
        <v>66</v>
      </c>
      <c r="BF50" s="114" t="str">
        <f t="shared" si="5"/>
        <v>..</v>
      </c>
      <c r="BG50" s="73"/>
      <c r="BH50" s="73"/>
      <c r="BI50" s="71" t="s">
        <v>66</v>
      </c>
      <c r="BJ50" s="71" t="s">
        <v>66</v>
      </c>
      <c r="BK50" s="71" t="s">
        <v>66</v>
      </c>
      <c r="BL50" s="116" t="s">
        <v>66</v>
      </c>
    </row>
    <row r="51" spans="1:64" s="13" customFormat="1" x14ac:dyDescent="0.2">
      <c r="A51" s="13" t="str">
        <f t="shared" si="0"/>
        <v>1979Q2</v>
      </c>
      <c r="B51" s="11">
        <f>B50</f>
        <v>1979</v>
      </c>
      <c r="C51" s="11" t="s">
        <v>2</v>
      </c>
      <c r="D51" s="43">
        <v>329</v>
      </c>
      <c r="E51" s="43">
        <v>603</v>
      </c>
      <c r="F51" s="87">
        <f t="shared" si="1"/>
        <v>932</v>
      </c>
      <c r="G51" s="42" t="s">
        <v>66</v>
      </c>
      <c r="H51" s="42" t="s">
        <v>66</v>
      </c>
      <c r="I51" s="92" t="s">
        <v>66</v>
      </c>
      <c r="J51" s="92" t="s">
        <v>66</v>
      </c>
      <c r="K51" s="92" t="s">
        <v>66</v>
      </c>
      <c r="L51" s="42" t="s">
        <v>66</v>
      </c>
      <c r="M51" s="42" t="s">
        <v>66</v>
      </c>
      <c r="N51" s="42" t="s">
        <v>67</v>
      </c>
      <c r="O51" s="42" t="s">
        <v>67</v>
      </c>
      <c r="P51" s="42" t="s">
        <v>66</v>
      </c>
      <c r="Q51" s="98">
        <v>847</v>
      </c>
      <c r="R51" s="42" t="s">
        <v>67</v>
      </c>
      <c r="S51" s="42" t="s">
        <v>66</v>
      </c>
      <c r="T51" s="92" t="s">
        <v>66</v>
      </c>
      <c r="U51" s="42" t="s">
        <v>66</v>
      </c>
      <c r="V51" s="92" t="s">
        <v>66</v>
      </c>
      <c r="W51" s="42" t="s">
        <v>66</v>
      </c>
      <c r="X51" s="92" t="s">
        <v>66</v>
      </c>
      <c r="Y51" s="92" t="s">
        <v>66</v>
      </c>
      <c r="Z51" s="92" t="s">
        <v>66</v>
      </c>
      <c r="AA51" s="48" t="s">
        <v>67</v>
      </c>
      <c r="AB51" s="52">
        <v>8</v>
      </c>
      <c r="AC51" s="105">
        <f t="shared" si="6"/>
        <v>855</v>
      </c>
      <c r="AD51" s="42" t="s">
        <v>66</v>
      </c>
      <c r="AE51" s="48" t="s">
        <v>67</v>
      </c>
      <c r="AF51" s="49" t="str">
        <f t="shared" si="7"/>
        <v>..</v>
      </c>
      <c r="AG51" s="36"/>
      <c r="AH51" s="32"/>
      <c r="AI51" s="108"/>
      <c r="AJ51" s="28"/>
      <c r="AK51" s="25"/>
      <c r="AL51" s="29"/>
      <c r="AM51" s="21"/>
      <c r="AN51" s="19" t="s">
        <v>66</v>
      </c>
      <c r="AO51" s="19" t="s">
        <v>66</v>
      </c>
      <c r="AP51" s="111" t="s">
        <v>66</v>
      </c>
      <c r="AQ51" s="19" t="s">
        <v>66</v>
      </c>
      <c r="AR51" s="19" t="s">
        <v>66</v>
      </c>
      <c r="AS51" s="112" t="s">
        <v>31</v>
      </c>
      <c r="AT51" s="112" t="s">
        <v>31</v>
      </c>
      <c r="AU51" s="19" t="s">
        <v>66</v>
      </c>
      <c r="AV51" s="19" t="s">
        <v>66</v>
      </c>
      <c r="AW51" s="19" t="s">
        <v>67</v>
      </c>
      <c r="AX51" s="19" t="s">
        <v>66</v>
      </c>
      <c r="AY51" s="19" t="s">
        <v>66</v>
      </c>
      <c r="AZ51" s="22" t="s">
        <v>67</v>
      </c>
      <c r="BA51" s="19" t="s">
        <v>67</v>
      </c>
      <c r="BB51" s="106" t="str">
        <f t="shared" si="4"/>
        <v>..</v>
      </c>
      <c r="BC51" s="21"/>
      <c r="BD51" s="70" t="s">
        <v>66</v>
      </c>
      <c r="BE51" s="70" t="s">
        <v>66</v>
      </c>
      <c r="BF51" s="114" t="str">
        <f t="shared" si="5"/>
        <v>..</v>
      </c>
      <c r="BG51" s="73"/>
      <c r="BH51" s="73"/>
      <c r="BI51" s="71" t="s">
        <v>66</v>
      </c>
      <c r="BJ51" s="71" t="s">
        <v>66</v>
      </c>
      <c r="BK51" s="71" t="s">
        <v>66</v>
      </c>
      <c r="BL51" s="116" t="s">
        <v>66</v>
      </c>
    </row>
    <row r="52" spans="1:64" s="13" customFormat="1" x14ac:dyDescent="0.2">
      <c r="A52" s="13" t="str">
        <f t="shared" si="0"/>
        <v>1979Q3</v>
      </c>
      <c r="B52" s="11">
        <f>B51</f>
        <v>1979</v>
      </c>
      <c r="C52" s="11" t="s">
        <v>3</v>
      </c>
      <c r="D52" s="43">
        <v>215</v>
      </c>
      <c r="E52" s="43">
        <v>614</v>
      </c>
      <c r="F52" s="87">
        <f t="shared" si="1"/>
        <v>829</v>
      </c>
      <c r="G52" s="42" t="s">
        <v>66</v>
      </c>
      <c r="H52" s="42" t="s">
        <v>66</v>
      </c>
      <c r="I52" s="92" t="s">
        <v>66</v>
      </c>
      <c r="J52" s="92" t="s">
        <v>66</v>
      </c>
      <c r="K52" s="92" t="s">
        <v>66</v>
      </c>
      <c r="L52" s="42" t="s">
        <v>66</v>
      </c>
      <c r="M52" s="42" t="s">
        <v>66</v>
      </c>
      <c r="N52" s="42" t="s">
        <v>67</v>
      </c>
      <c r="O52" s="42" t="s">
        <v>67</v>
      </c>
      <c r="P52" s="42" t="s">
        <v>66</v>
      </c>
      <c r="Q52" s="98">
        <v>713</v>
      </c>
      <c r="R52" s="42" t="s">
        <v>67</v>
      </c>
      <c r="S52" s="42" t="s">
        <v>66</v>
      </c>
      <c r="T52" s="92" t="s">
        <v>66</v>
      </c>
      <c r="U52" s="42" t="s">
        <v>66</v>
      </c>
      <c r="V52" s="92" t="s">
        <v>66</v>
      </c>
      <c r="W52" s="42" t="s">
        <v>66</v>
      </c>
      <c r="X52" s="92" t="s">
        <v>66</v>
      </c>
      <c r="Y52" s="92" t="s">
        <v>66</v>
      </c>
      <c r="Z52" s="92" t="s">
        <v>66</v>
      </c>
      <c r="AA52" s="48" t="s">
        <v>67</v>
      </c>
      <c r="AB52" s="52">
        <v>10</v>
      </c>
      <c r="AC52" s="105">
        <f t="shared" si="6"/>
        <v>723</v>
      </c>
      <c r="AD52" s="42" t="s">
        <v>66</v>
      </c>
      <c r="AE52" s="48" t="s">
        <v>67</v>
      </c>
      <c r="AF52" s="49" t="str">
        <f t="shared" si="7"/>
        <v>..</v>
      </c>
      <c r="AG52" s="36"/>
      <c r="AH52" s="32"/>
      <c r="AI52" s="108"/>
      <c r="AJ52" s="28"/>
      <c r="AK52" s="25"/>
      <c r="AL52" s="29"/>
      <c r="AM52" s="21"/>
      <c r="AN52" s="19" t="s">
        <v>66</v>
      </c>
      <c r="AO52" s="19" t="s">
        <v>66</v>
      </c>
      <c r="AP52" s="111" t="s">
        <v>66</v>
      </c>
      <c r="AQ52" s="19" t="s">
        <v>66</v>
      </c>
      <c r="AR52" s="19" t="s">
        <v>66</v>
      </c>
      <c r="AS52" s="112" t="s">
        <v>31</v>
      </c>
      <c r="AT52" s="112" t="s">
        <v>31</v>
      </c>
      <c r="AU52" s="19" t="s">
        <v>66</v>
      </c>
      <c r="AV52" s="19" t="s">
        <v>66</v>
      </c>
      <c r="AW52" s="19" t="s">
        <v>67</v>
      </c>
      <c r="AX52" s="19" t="s">
        <v>66</v>
      </c>
      <c r="AY52" s="19" t="s">
        <v>66</v>
      </c>
      <c r="AZ52" s="22" t="s">
        <v>67</v>
      </c>
      <c r="BA52" s="19" t="s">
        <v>67</v>
      </c>
      <c r="BB52" s="106" t="str">
        <f t="shared" si="4"/>
        <v>..</v>
      </c>
      <c r="BC52" s="21"/>
      <c r="BD52" s="70" t="s">
        <v>66</v>
      </c>
      <c r="BE52" s="70" t="s">
        <v>66</v>
      </c>
      <c r="BF52" s="114" t="str">
        <f t="shared" si="5"/>
        <v>..</v>
      </c>
      <c r="BG52" s="73"/>
      <c r="BH52" s="73"/>
      <c r="BI52" s="71" t="s">
        <v>66</v>
      </c>
      <c r="BJ52" s="71" t="s">
        <v>66</v>
      </c>
      <c r="BK52" s="71" t="s">
        <v>66</v>
      </c>
      <c r="BL52" s="116" t="s">
        <v>66</v>
      </c>
    </row>
    <row r="53" spans="1:64" s="13" customFormat="1" x14ac:dyDescent="0.2">
      <c r="A53" s="13" t="str">
        <f t="shared" si="0"/>
        <v>1979Q4</v>
      </c>
      <c r="B53" s="11">
        <f>B52</f>
        <v>1979</v>
      </c>
      <c r="C53" s="11" t="s">
        <v>4</v>
      </c>
      <c r="D53" s="43">
        <v>921</v>
      </c>
      <c r="E53" s="43">
        <v>581</v>
      </c>
      <c r="F53" s="87">
        <f t="shared" si="1"/>
        <v>1502</v>
      </c>
      <c r="G53" s="42" t="s">
        <v>66</v>
      </c>
      <c r="H53" s="42" t="s">
        <v>66</v>
      </c>
      <c r="I53" s="92" t="s">
        <v>66</v>
      </c>
      <c r="J53" s="92" t="s">
        <v>66</v>
      </c>
      <c r="K53" s="92" t="s">
        <v>66</v>
      </c>
      <c r="L53" s="42" t="s">
        <v>66</v>
      </c>
      <c r="M53" s="42" t="s">
        <v>66</v>
      </c>
      <c r="N53" s="42" t="s">
        <v>67</v>
      </c>
      <c r="O53" s="42" t="s">
        <v>67</v>
      </c>
      <c r="P53" s="42" t="s">
        <v>66</v>
      </c>
      <c r="Q53" s="98">
        <v>941</v>
      </c>
      <c r="R53" s="42" t="s">
        <v>67</v>
      </c>
      <c r="S53" s="42" t="s">
        <v>66</v>
      </c>
      <c r="T53" s="92" t="s">
        <v>66</v>
      </c>
      <c r="U53" s="42" t="s">
        <v>66</v>
      </c>
      <c r="V53" s="92" t="s">
        <v>66</v>
      </c>
      <c r="W53" s="42" t="s">
        <v>66</v>
      </c>
      <c r="X53" s="92" t="s">
        <v>66</v>
      </c>
      <c r="Y53" s="92" t="s">
        <v>66</v>
      </c>
      <c r="Z53" s="92" t="s">
        <v>66</v>
      </c>
      <c r="AA53" s="48" t="s">
        <v>67</v>
      </c>
      <c r="AB53" s="52">
        <v>8</v>
      </c>
      <c r="AC53" s="105">
        <f t="shared" si="6"/>
        <v>949</v>
      </c>
      <c r="AD53" s="42" t="s">
        <v>66</v>
      </c>
      <c r="AE53" s="48" t="s">
        <v>67</v>
      </c>
      <c r="AF53" s="49" t="str">
        <f t="shared" si="7"/>
        <v>..</v>
      </c>
      <c r="AG53" s="36"/>
      <c r="AH53" s="32"/>
      <c r="AI53" s="108"/>
      <c r="AJ53" s="28"/>
      <c r="AK53" s="25"/>
      <c r="AL53" s="29"/>
      <c r="AM53" s="21"/>
      <c r="AN53" s="20" t="s">
        <v>31</v>
      </c>
      <c r="AO53" s="20" t="s">
        <v>31</v>
      </c>
      <c r="AP53" s="112" t="s">
        <v>31</v>
      </c>
      <c r="AQ53" s="19" t="s">
        <v>66</v>
      </c>
      <c r="AR53" s="19" t="s">
        <v>66</v>
      </c>
      <c r="AS53" s="112" t="s">
        <v>31</v>
      </c>
      <c r="AT53" s="112" t="s">
        <v>31</v>
      </c>
      <c r="AU53" s="19" t="s">
        <v>66</v>
      </c>
      <c r="AV53" s="19" t="s">
        <v>66</v>
      </c>
      <c r="AW53" s="19" t="s">
        <v>67</v>
      </c>
      <c r="AX53" s="19" t="s">
        <v>66</v>
      </c>
      <c r="AY53" s="19" t="s">
        <v>66</v>
      </c>
      <c r="AZ53" s="22" t="s">
        <v>67</v>
      </c>
      <c r="BA53" s="19" t="s">
        <v>67</v>
      </c>
      <c r="BB53" s="106" t="str">
        <f t="shared" si="4"/>
        <v>..</v>
      </c>
      <c r="BC53" s="21"/>
      <c r="BD53" s="70" t="s">
        <v>66</v>
      </c>
      <c r="BE53" s="70" t="s">
        <v>66</v>
      </c>
      <c r="BF53" s="114" t="str">
        <f t="shared" si="5"/>
        <v>..</v>
      </c>
      <c r="BG53" s="73"/>
      <c r="BH53" s="73"/>
      <c r="BI53" s="71" t="s">
        <v>66</v>
      </c>
      <c r="BJ53" s="71" t="s">
        <v>66</v>
      </c>
      <c r="BK53" s="71" t="s">
        <v>66</v>
      </c>
      <c r="BL53" s="116" t="s">
        <v>66</v>
      </c>
    </row>
    <row r="54" spans="1:64" s="13" customFormat="1" x14ac:dyDescent="0.2">
      <c r="A54" s="13" t="str">
        <f t="shared" si="0"/>
        <v>1980Q1</v>
      </c>
      <c r="B54" s="11">
        <v>1980</v>
      </c>
      <c r="C54" s="63" t="s">
        <v>1</v>
      </c>
      <c r="D54" s="43">
        <v>757</v>
      </c>
      <c r="E54" s="43">
        <v>741</v>
      </c>
      <c r="F54" s="87">
        <f t="shared" si="1"/>
        <v>1498</v>
      </c>
      <c r="G54" s="42" t="s">
        <v>66</v>
      </c>
      <c r="H54" s="42" t="s">
        <v>66</v>
      </c>
      <c r="I54" s="92" t="s">
        <v>66</v>
      </c>
      <c r="J54" s="92" t="s">
        <v>66</v>
      </c>
      <c r="K54" s="92" t="s">
        <v>66</v>
      </c>
      <c r="L54" s="42" t="s">
        <v>66</v>
      </c>
      <c r="M54" s="42" t="s">
        <v>66</v>
      </c>
      <c r="N54" s="42" t="s">
        <v>67</v>
      </c>
      <c r="O54" s="42" t="s">
        <v>67</v>
      </c>
      <c r="P54" s="42" t="s">
        <v>66</v>
      </c>
      <c r="Q54" s="98">
        <v>958</v>
      </c>
      <c r="R54" s="42" t="s">
        <v>67</v>
      </c>
      <c r="S54" s="42" t="s">
        <v>66</v>
      </c>
      <c r="T54" s="92" t="s">
        <v>66</v>
      </c>
      <c r="U54" s="42" t="s">
        <v>66</v>
      </c>
      <c r="V54" s="92" t="s">
        <v>66</v>
      </c>
      <c r="W54" s="42" t="s">
        <v>66</v>
      </c>
      <c r="X54" s="92" t="s">
        <v>66</v>
      </c>
      <c r="Y54" s="92" t="s">
        <v>66</v>
      </c>
      <c r="Z54" s="92" t="s">
        <v>66</v>
      </c>
      <c r="AA54" s="48" t="s">
        <v>67</v>
      </c>
      <c r="AB54" s="52">
        <v>10</v>
      </c>
      <c r="AC54" s="105">
        <f t="shared" si="6"/>
        <v>968</v>
      </c>
      <c r="AD54" s="42" t="s">
        <v>66</v>
      </c>
      <c r="AE54" s="48" t="s">
        <v>67</v>
      </c>
      <c r="AF54" s="49" t="str">
        <f t="shared" si="7"/>
        <v>..</v>
      </c>
      <c r="AG54" s="36"/>
      <c r="AH54" s="32"/>
      <c r="AI54" s="108"/>
      <c r="AJ54" s="28"/>
      <c r="AK54" s="25"/>
      <c r="AL54" s="29"/>
      <c r="AM54" s="21"/>
      <c r="AN54" s="19">
        <v>27</v>
      </c>
      <c r="AO54" s="19">
        <v>55</v>
      </c>
      <c r="AP54" s="106">
        <f t="shared" ref="AP54:AP117" si="8">AN54+AO54</f>
        <v>82</v>
      </c>
      <c r="AQ54" s="19" t="s">
        <v>66</v>
      </c>
      <c r="AR54" s="19" t="s">
        <v>66</v>
      </c>
      <c r="AS54" s="112" t="s">
        <v>31</v>
      </c>
      <c r="AT54" s="112" t="s">
        <v>31</v>
      </c>
      <c r="AU54" s="19" t="s">
        <v>66</v>
      </c>
      <c r="AV54" s="19" t="s">
        <v>66</v>
      </c>
      <c r="AW54" s="19" t="s">
        <v>67</v>
      </c>
      <c r="AX54" s="19" t="s">
        <v>66</v>
      </c>
      <c r="AY54" s="22">
        <v>50</v>
      </c>
      <c r="AZ54" s="22" t="s">
        <v>67</v>
      </c>
      <c r="BA54" s="19" t="s">
        <v>67</v>
      </c>
      <c r="BB54" s="106">
        <f t="shared" si="4"/>
        <v>50</v>
      </c>
      <c r="BC54" s="21"/>
      <c r="BD54" s="70" t="s">
        <v>66</v>
      </c>
      <c r="BE54" s="70" t="s">
        <v>66</v>
      </c>
      <c r="BF54" s="114" t="str">
        <f t="shared" si="5"/>
        <v>..</v>
      </c>
      <c r="BG54" s="73"/>
      <c r="BH54" s="73"/>
      <c r="BI54" s="71" t="s">
        <v>66</v>
      </c>
      <c r="BJ54" s="71" t="s">
        <v>66</v>
      </c>
      <c r="BK54" s="71" t="s">
        <v>66</v>
      </c>
      <c r="BL54" s="116" t="s">
        <v>66</v>
      </c>
    </row>
    <row r="55" spans="1:64" s="13" customFormat="1" x14ac:dyDescent="0.2">
      <c r="A55" s="13" t="str">
        <f t="shared" si="0"/>
        <v>1980Q2</v>
      </c>
      <c r="B55" s="11">
        <f>B54</f>
        <v>1980</v>
      </c>
      <c r="C55" s="11" t="s">
        <v>2</v>
      </c>
      <c r="D55" s="43">
        <v>718</v>
      </c>
      <c r="E55" s="43">
        <v>1007</v>
      </c>
      <c r="F55" s="87">
        <f t="shared" si="1"/>
        <v>1725</v>
      </c>
      <c r="G55" s="42" t="s">
        <v>66</v>
      </c>
      <c r="H55" s="42" t="s">
        <v>66</v>
      </c>
      <c r="I55" s="92" t="s">
        <v>66</v>
      </c>
      <c r="J55" s="92" t="s">
        <v>66</v>
      </c>
      <c r="K55" s="92" t="s">
        <v>66</v>
      </c>
      <c r="L55" s="42" t="s">
        <v>66</v>
      </c>
      <c r="M55" s="42" t="s">
        <v>66</v>
      </c>
      <c r="N55" s="42" t="s">
        <v>67</v>
      </c>
      <c r="O55" s="42" t="s">
        <v>67</v>
      </c>
      <c r="P55" s="42" t="s">
        <v>66</v>
      </c>
      <c r="Q55" s="98">
        <v>981</v>
      </c>
      <c r="R55" s="42" t="s">
        <v>67</v>
      </c>
      <c r="S55" s="42" t="s">
        <v>66</v>
      </c>
      <c r="T55" s="92" t="s">
        <v>66</v>
      </c>
      <c r="U55" s="42" t="s">
        <v>66</v>
      </c>
      <c r="V55" s="92" t="s">
        <v>66</v>
      </c>
      <c r="W55" s="42" t="s">
        <v>66</v>
      </c>
      <c r="X55" s="92" t="s">
        <v>66</v>
      </c>
      <c r="Y55" s="92" t="s">
        <v>66</v>
      </c>
      <c r="Z55" s="92" t="s">
        <v>66</v>
      </c>
      <c r="AA55" s="48" t="s">
        <v>67</v>
      </c>
      <c r="AB55" s="52">
        <v>11</v>
      </c>
      <c r="AC55" s="105">
        <f t="shared" si="6"/>
        <v>992</v>
      </c>
      <c r="AD55" s="42" t="s">
        <v>66</v>
      </c>
      <c r="AE55" s="48" t="s">
        <v>67</v>
      </c>
      <c r="AF55" s="49" t="str">
        <f t="shared" si="7"/>
        <v>..</v>
      </c>
      <c r="AG55" s="36"/>
      <c r="AH55" s="32"/>
      <c r="AI55" s="108"/>
      <c r="AJ55" s="28"/>
      <c r="AK55" s="25"/>
      <c r="AL55" s="29"/>
      <c r="AM55" s="21"/>
      <c r="AN55" s="19">
        <v>25</v>
      </c>
      <c r="AO55" s="19">
        <v>56</v>
      </c>
      <c r="AP55" s="106">
        <f t="shared" si="8"/>
        <v>81</v>
      </c>
      <c r="AQ55" s="19" t="s">
        <v>66</v>
      </c>
      <c r="AR55" s="19" t="s">
        <v>66</v>
      </c>
      <c r="AS55" s="112" t="s">
        <v>31</v>
      </c>
      <c r="AT55" s="112" t="s">
        <v>31</v>
      </c>
      <c r="AU55" s="19" t="s">
        <v>66</v>
      </c>
      <c r="AV55" s="19" t="s">
        <v>66</v>
      </c>
      <c r="AW55" s="19" t="s">
        <v>67</v>
      </c>
      <c r="AX55" s="19" t="s">
        <v>66</v>
      </c>
      <c r="AY55" s="22">
        <v>33</v>
      </c>
      <c r="AZ55" s="22" t="s">
        <v>67</v>
      </c>
      <c r="BA55" s="19" t="s">
        <v>67</v>
      </c>
      <c r="BB55" s="106">
        <f t="shared" si="4"/>
        <v>33</v>
      </c>
      <c r="BC55" s="21"/>
      <c r="BD55" s="70" t="s">
        <v>66</v>
      </c>
      <c r="BE55" s="70" t="s">
        <v>66</v>
      </c>
      <c r="BF55" s="114" t="str">
        <f t="shared" si="5"/>
        <v>..</v>
      </c>
      <c r="BG55" s="73"/>
      <c r="BH55" s="73"/>
      <c r="BI55" s="71" t="s">
        <v>66</v>
      </c>
      <c r="BJ55" s="71" t="s">
        <v>66</v>
      </c>
      <c r="BK55" s="71" t="s">
        <v>66</v>
      </c>
      <c r="BL55" s="116" t="s">
        <v>66</v>
      </c>
    </row>
    <row r="56" spans="1:64" s="13" customFormat="1" x14ac:dyDescent="0.2">
      <c r="A56" s="13" t="str">
        <f t="shared" si="0"/>
        <v>1980Q3</v>
      </c>
      <c r="B56" s="11">
        <f>B55</f>
        <v>1980</v>
      </c>
      <c r="C56" s="11" t="s">
        <v>3</v>
      </c>
      <c r="D56" s="43">
        <v>334</v>
      </c>
      <c r="E56" s="43">
        <v>1109</v>
      </c>
      <c r="F56" s="87">
        <f t="shared" si="1"/>
        <v>1443</v>
      </c>
      <c r="G56" s="42" t="s">
        <v>66</v>
      </c>
      <c r="H56" s="42" t="s">
        <v>66</v>
      </c>
      <c r="I56" s="92" t="s">
        <v>66</v>
      </c>
      <c r="J56" s="92" t="s">
        <v>66</v>
      </c>
      <c r="K56" s="92" t="s">
        <v>66</v>
      </c>
      <c r="L56" s="42" t="s">
        <v>66</v>
      </c>
      <c r="M56" s="42" t="s">
        <v>66</v>
      </c>
      <c r="N56" s="42" t="s">
        <v>67</v>
      </c>
      <c r="O56" s="42" t="s">
        <v>67</v>
      </c>
      <c r="P56" s="42" t="s">
        <v>66</v>
      </c>
      <c r="Q56" s="98">
        <v>859</v>
      </c>
      <c r="R56" s="42" t="s">
        <v>67</v>
      </c>
      <c r="S56" s="42" t="s">
        <v>66</v>
      </c>
      <c r="T56" s="92" t="s">
        <v>66</v>
      </c>
      <c r="U56" s="42" t="s">
        <v>66</v>
      </c>
      <c r="V56" s="92" t="s">
        <v>66</v>
      </c>
      <c r="W56" s="42" t="s">
        <v>66</v>
      </c>
      <c r="X56" s="92" t="s">
        <v>66</v>
      </c>
      <c r="Y56" s="92" t="s">
        <v>66</v>
      </c>
      <c r="Z56" s="92" t="s">
        <v>66</v>
      </c>
      <c r="AA56" s="48" t="s">
        <v>67</v>
      </c>
      <c r="AB56" s="52">
        <v>9</v>
      </c>
      <c r="AC56" s="105">
        <f t="shared" si="6"/>
        <v>868</v>
      </c>
      <c r="AD56" s="42" t="s">
        <v>66</v>
      </c>
      <c r="AE56" s="48" t="s">
        <v>67</v>
      </c>
      <c r="AF56" s="49" t="str">
        <f t="shared" si="7"/>
        <v>..</v>
      </c>
      <c r="AG56" s="36"/>
      <c r="AH56" s="32"/>
      <c r="AI56" s="108"/>
      <c r="AJ56" s="28"/>
      <c r="AK56" s="25"/>
      <c r="AL56" s="29"/>
      <c r="AM56" s="21"/>
      <c r="AN56" s="19">
        <v>38</v>
      </c>
      <c r="AO56" s="19">
        <v>62</v>
      </c>
      <c r="AP56" s="106">
        <f t="shared" si="8"/>
        <v>100</v>
      </c>
      <c r="AQ56" s="19" t="s">
        <v>66</v>
      </c>
      <c r="AR56" s="19" t="s">
        <v>66</v>
      </c>
      <c r="AS56" s="112" t="s">
        <v>31</v>
      </c>
      <c r="AT56" s="112" t="s">
        <v>31</v>
      </c>
      <c r="AU56" s="19" t="s">
        <v>66</v>
      </c>
      <c r="AV56" s="19" t="s">
        <v>66</v>
      </c>
      <c r="AW56" s="19" t="s">
        <v>67</v>
      </c>
      <c r="AX56" s="19" t="s">
        <v>66</v>
      </c>
      <c r="AY56" s="22">
        <v>29</v>
      </c>
      <c r="AZ56" s="22" t="s">
        <v>67</v>
      </c>
      <c r="BA56" s="19" t="s">
        <v>67</v>
      </c>
      <c r="BB56" s="106">
        <f t="shared" si="4"/>
        <v>29</v>
      </c>
      <c r="BC56" s="21"/>
      <c r="BD56" s="70" t="s">
        <v>66</v>
      </c>
      <c r="BE56" s="70" t="s">
        <v>66</v>
      </c>
      <c r="BF56" s="114" t="str">
        <f t="shared" si="5"/>
        <v>..</v>
      </c>
      <c r="BG56" s="73"/>
      <c r="BH56" s="73"/>
      <c r="BI56" s="71" t="s">
        <v>66</v>
      </c>
      <c r="BJ56" s="71" t="s">
        <v>66</v>
      </c>
      <c r="BK56" s="71" t="s">
        <v>66</v>
      </c>
      <c r="BL56" s="116" t="s">
        <v>66</v>
      </c>
    </row>
    <row r="57" spans="1:64" s="13" customFormat="1" x14ac:dyDescent="0.2">
      <c r="A57" s="13" t="str">
        <f t="shared" si="0"/>
        <v>1980Q4</v>
      </c>
      <c r="B57" s="11">
        <f>B56</f>
        <v>1980</v>
      </c>
      <c r="C57" s="11" t="s">
        <v>4</v>
      </c>
      <c r="D57" s="43">
        <v>1126</v>
      </c>
      <c r="E57" s="43">
        <v>1098</v>
      </c>
      <c r="F57" s="87">
        <f t="shared" si="1"/>
        <v>2224</v>
      </c>
      <c r="G57" s="42" t="s">
        <v>66</v>
      </c>
      <c r="H57" s="42" t="s">
        <v>66</v>
      </c>
      <c r="I57" s="92" t="s">
        <v>66</v>
      </c>
      <c r="J57" s="92" t="s">
        <v>66</v>
      </c>
      <c r="K57" s="92" t="s">
        <v>66</v>
      </c>
      <c r="L57" s="42" t="s">
        <v>66</v>
      </c>
      <c r="M57" s="42" t="s">
        <v>66</v>
      </c>
      <c r="N57" s="42" t="s">
        <v>67</v>
      </c>
      <c r="O57" s="42" t="s">
        <v>67</v>
      </c>
      <c r="P57" s="42" t="s">
        <v>66</v>
      </c>
      <c r="Q57" s="98">
        <v>1188</v>
      </c>
      <c r="R57" s="42" t="s">
        <v>67</v>
      </c>
      <c r="S57" s="42" t="s">
        <v>66</v>
      </c>
      <c r="T57" s="92" t="s">
        <v>66</v>
      </c>
      <c r="U57" s="42" t="s">
        <v>66</v>
      </c>
      <c r="V57" s="92" t="s">
        <v>66</v>
      </c>
      <c r="W57" s="42" t="s">
        <v>66</v>
      </c>
      <c r="X57" s="92" t="s">
        <v>66</v>
      </c>
      <c r="Y57" s="92" t="s">
        <v>66</v>
      </c>
      <c r="Z57" s="92" t="s">
        <v>66</v>
      </c>
      <c r="AA57" s="48" t="s">
        <v>67</v>
      </c>
      <c r="AB57" s="52">
        <v>22</v>
      </c>
      <c r="AC57" s="105">
        <f t="shared" si="6"/>
        <v>1210</v>
      </c>
      <c r="AD57" s="42" t="s">
        <v>66</v>
      </c>
      <c r="AE57" s="48" t="s">
        <v>67</v>
      </c>
      <c r="AF57" s="49" t="str">
        <f t="shared" si="7"/>
        <v>..</v>
      </c>
      <c r="AG57" s="36"/>
      <c r="AH57" s="32"/>
      <c r="AI57" s="108"/>
      <c r="AJ57" s="28"/>
      <c r="AK57" s="25"/>
      <c r="AL57" s="29"/>
      <c r="AM57" s="21"/>
      <c r="AN57" s="19">
        <v>45</v>
      </c>
      <c r="AO57" s="19">
        <v>71</v>
      </c>
      <c r="AP57" s="106">
        <f t="shared" si="8"/>
        <v>116</v>
      </c>
      <c r="AQ57" s="19" t="s">
        <v>66</v>
      </c>
      <c r="AR57" s="19" t="s">
        <v>66</v>
      </c>
      <c r="AS57" s="112" t="s">
        <v>31</v>
      </c>
      <c r="AT57" s="112" t="s">
        <v>31</v>
      </c>
      <c r="AU57" s="19" t="s">
        <v>66</v>
      </c>
      <c r="AV57" s="19" t="s">
        <v>66</v>
      </c>
      <c r="AW57" s="19" t="s">
        <v>67</v>
      </c>
      <c r="AX57" s="19" t="s">
        <v>66</v>
      </c>
      <c r="AY57" s="22">
        <v>38</v>
      </c>
      <c r="AZ57" s="22" t="s">
        <v>67</v>
      </c>
      <c r="BA57" s="19" t="s">
        <v>67</v>
      </c>
      <c r="BB57" s="106">
        <f t="shared" si="4"/>
        <v>38</v>
      </c>
      <c r="BC57" s="21"/>
      <c r="BD57" s="70" t="s">
        <v>66</v>
      </c>
      <c r="BE57" s="70" t="s">
        <v>66</v>
      </c>
      <c r="BF57" s="114" t="str">
        <f t="shared" si="5"/>
        <v>..</v>
      </c>
      <c r="BG57" s="73"/>
      <c r="BH57" s="73"/>
      <c r="BI57" s="71" t="s">
        <v>66</v>
      </c>
      <c r="BJ57" s="71" t="s">
        <v>66</v>
      </c>
      <c r="BK57" s="71" t="s">
        <v>66</v>
      </c>
      <c r="BL57" s="116" t="s">
        <v>66</v>
      </c>
    </row>
    <row r="58" spans="1:64" s="13" customFormat="1" x14ac:dyDescent="0.2">
      <c r="A58" s="13" t="str">
        <f t="shared" si="0"/>
        <v>1981Q1</v>
      </c>
      <c r="B58" s="11">
        <v>1981</v>
      </c>
      <c r="C58" s="63" t="s">
        <v>1</v>
      </c>
      <c r="D58" s="43">
        <v>1017</v>
      </c>
      <c r="E58" s="43">
        <v>1595</v>
      </c>
      <c r="F58" s="87">
        <f t="shared" si="1"/>
        <v>2612</v>
      </c>
      <c r="G58" s="42" t="s">
        <v>66</v>
      </c>
      <c r="H58" s="42" t="s">
        <v>66</v>
      </c>
      <c r="I58" s="92" t="s">
        <v>66</v>
      </c>
      <c r="J58" s="92" t="s">
        <v>66</v>
      </c>
      <c r="K58" s="92" t="s">
        <v>66</v>
      </c>
      <c r="L58" s="42" t="s">
        <v>66</v>
      </c>
      <c r="M58" s="42" t="s">
        <v>66</v>
      </c>
      <c r="N58" s="42" t="s">
        <v>67</v>
      </c>
      <c r="O58" s="42" t="s">
        <v>67</v>
      </c>
      <c r="P58" s="42" t="s">
        <v>66</v>
      </c>
      <c r="Q58" s="98">
        <v>1350</v>
      </c>
      <c r="R58" s="42" t="s">
        <v>67</v>
      </c>
      <c r="S58" s="42" t="s">
        <v>66</v>
      </c>
      <c r="T58" s="92" t="s">
        <v>66</v>
      </c>
      <c r="U58" s="42" t="s">
        <v>66</v>
      </c>
      <c r="V58" s="92" t="s">
        <v>66</v>
      </c>
      <c r="W58" s="42" t="s">
        <v>66</v>
      </c>
      <c r="X58" s="92" t="s">
        <v>66</v>
      </c>
      <c r="Y58" s="92" t="s">
        <v>66</v>
      </c>
      <c r="Z58" s="92" t="s">
        <v>66</v>
      </c>
      <c r="AA58" s="48" t="s">
        <v>67</v>
      </c>
      <c r="AB58" s="52">
        <v>21</v>
      </c>
      <c r="AC58" s="105">
        <f t="shared" si="6"/>
        <v>1371</v>
      </c>
      <c r="AD58" s="42" t="s">
        <v>66</v>
      </c>
      <c r="AE58" s="48" t="s">
        <v>67</v>
      </c>
      <c r="AF58" s="49" t="str">
        <f t="shared" si="7"/>
        <v>..</v>
      </c>
      <c r="AG58" s="36"/>
      <c r="AH58" s="32"/>
      <c r="AI58" s="108"/>
      <c r="AJ58" s="28"/>
      <c r="AK58" s="25"/>
      <c r="AL58" s="29"/>
      <c r="AM58" s="21"/>
      <c r="AN58" s="19">
        <v>36</v>
      </c>
      <c r="AO58" s="19">
        <v>66</v>
      </c>
      <c r="AP58" s="106">
        <f t="shared" si="8"/>
        <v>102</v>
      </c>
      <c r="AQ58" s="19" t="s">
        <v>66</v>
      </c>
      <c r="AR58" s="19" t="s">
        <v>66</v>
      </c>
      <c r="AS58" s="112" t="s">
        <v>31</v>
      </c>
      <c r="AT58" s="112" t="s">
        <v>31</v>
      </c>
      <c r="AU58" s="19" t="s">
        <v>66</v>
      </c>
      <c r="AV58" s="19" t="s">
        <v>66</v>
      </c>
      <c r="AW58" s="19" t="s">
        <v>67</v>
      </c>
      <c r="AX58" s="19" t="s">
        <v>66</v>
      </c>
      <c r="AY58" s="22">
        <v>44</v>
      </c>
      <c r="AZ58" s="22" t="s">
        <v>67</v>
      </c>
      <c r="BA58" s="19" t="s">
        <v>67</v>
      </c>
      <c r="BB58" s="106">
        <f t="shared" si="4"/>
        <v>44</v>
      </c>
      <c r="BC58" s="21"/>
      <c r="BD58" s="70" t="s">
        <v>66</v>
      </c>
      <c r="BE58" s="70" t="s">
        <v>66</v>
      </c>
      <c r="BF58" s="114" t="str">
        <f t="shared" si="5"/>
        <v>..</v>
      </c>
      <c r="BG58" s="73"/>
      <c r="BH58" s="73"/>
      <c r="BI58" s="71" t="s">
        <v>66</v>
      </c>
      <c r="BJ58" s="71" t="s">
        <v>66</v>
      </c>
      <c r="BK58" s="71" t="s">
        <v>66</v>
      </c>
      <c r="BL58" s="116" t="s">
        <v>66</v>
      </c>
    </row>
    <row r="59" spans="1:64" s="13" customFormat="1" x14ac:dyDescent="0.2">
      <c r="A59" s="13" t="str">
        <f t="shared" si="0"/>
        <v>1981Q2</v>
      </c>
      <c r="B59" s="11">
        <f>B58</f>
        <v>1981</v>
      </c>
      <c r="C59" s="11" t="s">
        <v>2</v>
      </c>
      <c r="D59" s="43">
        <v>640</v>
      </c>
      <c r="E59" s="43">
        <v>970</v>
      </c>
      <c r="F59" s="87">
        <f t="shared" si="1"/>
        <v>1610</v>
      </c>
      <c r="G59" s="42" t="s">
        <v>66</v>
      </c>
      <c r="H59" s="42" t="s">
        <v>66</v>
      </c>
      <c r="I59" s="92" t="s">
        <v>66</v>
      </c>
      <c r="J59" s="92" t="s">
        <v>66</v>
      </c>
      <c r="K59" s="92" t="s">
        <v>66</v>
      </c>
      <c r="L59" s="42" t="s">
        <v>66</v>
      </c>
      <c r="M59" s="42" t="s">
        <v>66</v>
      </c>
      <c r="N59" s="42" t="s">
        <v>67</v>
      </c>
      <c r="O59" s="42" t="s">
        <v>67</v>
      </c>
      <c r="P59" s="42" t="s">
        <v>66</v>
      </c>
      <c r="Q59" s="98">
        <v>1211</v>
      </c>
      <c r="R59" s="42" t="s">
        <v>67</v>
      </c>
      <c r="S59" s="42" t="s">
        <v>66</v>
      </c>
      <c r="T59" s="92" t="s">
        <v>66</v>
      </c>
      <c r="U59" s="42" t="s">
        <v>66</v>
      </c>
      <c r="V59" s="92" t="s">
        <v>66</v>
      </c>
      <c r="W59" s="42" t="s">
        <v>66</v>
      </c>
      <c r="X59" s="92" t="s">
        <v>66</v>
      </c>
      <c r="Y59" s="92" t="s">
        <v>66</v>
      </c>
      <c r="Z59" s="92" t="s">
        <v>66</v>
      </c>
      <c r="AA59" s="48" t="s">
        <v>67</v>
      </c>
      <c r="AB59" s="52">
        <v>26</v>
      </c>
      <c r="AC59" s="105">
        <f t="shared" si="6"/>
        <v>1237</v>
      </c>
      <c r="AD59" s="42" t="s">
        <v>66</v>
      </c>
      <c r="AE59" s="48" t="s">
        <v>67</v>
      </c>
      <c r="AF59" s="49" t="str">
        <f t="shared" si="7"/>
        <v>..</v>
      </c>
      <c r="AG59" s="36"/>
      <c r="AH59" s="32"/>
      <c r="AI59" s="108"/>
      <c r="AJ59" s="28"/>
      <c r="AK59" s="25"/>
      <c r="AL59" s="29"/>
      <c r="AM59" s="21"/>
      <c r="AN59" s="19">
        <v>27</v>
      </c>
      <c r="AO59" s="19">
        <v>59</v>
      </c>
      <c r="AP59" s="106">
        <f t="shared" si="8"/>
        <v>86</v>
      </c>
      <c r="AQ59" s="19" t="s">
        <v>66</v>
      </c>
      <c r="AR59" s="19" t="s">
        <v>66</v>
      </c>
      <c r="AS59" s="112" t="s">
        <v>31</v>
      </c>
      <c r="AT59" s="112" t="s">
        <v>31</v>
      </c>
      <c r="AU59" s="19" t="s">
        <v>66</v>
      </c>
      <c r="AV59" s="19" t="s">
        <v>66</v>
      </c>
      <c r="AW59" s="19" t="s">
        <v>67</v>
      </c>
      <c r="AX59" s="19" t="s">
        <v>66</v>
      </c>
      <c r="AY59" s="22">
        <v>31</v>
      </c>
      <c r="AZ59" s="22" t="s">
        <v>67</v>
      </c>
      <c r="BA59" s="19" t="s">
        <v>67</v>
      </c>
      <c r="BB59" s="106">
        <f t="shared" si="4"/>
        <v>31</v>
      </c>
      <c r="BC59" s="21"/>
      <c r="BD59" s="70" t="s">
        <v>66</v>
      </c>
      <c r="BE59" s="70" t="s">
        <v>66</v>
      </c>
      <c r="BF59" s="114" t="str">
        <f t="shared" si="5"/>
        <v>..</v>
      </c>
      <c r="BG59" s="73"/>
      <c r="BH59" s="73"/>
      <c r="BI59" s="71" t="s">
        <v>66</v>
      </c>
      <c r="BJ59" s="71" t="s">
        <v>66</v>
      </c>
      <c r="BK59" s="71" t="s">
        <v>66</v>
      </c>
      <c r="BL59" s="116" t="s">
        <v>66</v>
      </c>
    </row>
    <row r="60" spans="1:64" s="13" customFormat="1" x14ac:dyDescent="0.2">
      <c r="A60" s="13" t="str">
        <f t="shared" si="0"/>
        <v>1981Q3</v>
      </c>
      <c r="B60" s="11">
        <f>B59</f>
        <v>1981</v>
      </c>
      <c r="C60" s="11" t="s">
        <v>3</v>
      </c>
      <c r="D60" s="43">
        <v>258</v>
      </c>
      <c r="E60" s="43">
        <v>1766</v>
      </c>
      <c r="F60" s="87">
        <f t="shared" si="1"/>
        <v>2024</v>
      </c>
      <c r="G60" s="42" t="s">
        <v>66</v>
      </c>
      <c r="H60" s="42" t="s">
        <v>66</v>
      </c>
      <c r="I60" s="92" t="s">
        <v>66</v>
      </c>
      <c r="J60" s="92" t="s">
        <v>66</v>
      </c>
      <c r="K60" s="92" t="s">
        <v>66</v>
      </c>
      <c r="L60" s="42" t="s">
        <v>66</v>
      </c>
      <c r="M60" s="42" t="s">
        <v>66</v>
      </c>
      <c r="N60" s="42" t="s">
        <v>67</v>
      </c>
      <c r="O60" s="42" t="s">
        <v>67</v>
      </c>
      <c r="P60" s="42" t="s">
        <v>66</v>
      </c>
      <c r="Q60" s="98">
        <v>1127</v>
      </c>
      <c r="R60" s="42" t="s">
        <v>67</v>
      </c>
      <c r="S60" s="42" t="s">
        <v>66</v>
      </c>
      <c r="T60" s="92" t="s">
        <v>66</v>
      </c>
      <c r="U60" s="42" t="s">
        <v>66</v>
      </c>
      <c r="V60" s="92" t="s">
        <v>66</v>
      </c>
      <c r="W60" s="42" t="s">
        <v>66</v>
      </c>
      <c r="X60" s="92" t="s">
        <v>66</v>
      </c>
      <c r="Y60" s="92" t="s">
        <v>66</v>
      </c>
      <c r="Z60" s="92" t="s">
        <v>66</v>
      </c>
      <c r="AA60" s="48" t="s">
        <v>67</v>
      </c>
      <c r="AB60" s="52">
        <v>17</v>
      </c>
      <c r="AC60" s="105">
        <f t="shared" si="6"/>
        <v>1144</v>
      </c>
      <c r="AD60" s="42" t="s">
        <v>66</v>
      </c>
      <c r="AE60" s="48" t="s">
        <v>67</v>
      </c>
      <c r="AF60" s="49" t="str">
        <f t="shared" si="7"/>
        <v>..</v>
      </c>
      <c r="AG60" s="36"/>
      <c r="AH60" s="32"/>
      <c r="AI60" s="108"/>
      <c r="AJ60" s="28"/>
      <c r="AK60" s="25"/>
      <c r="AL60" s="29"/>
      <c r="AM60" s="21"/>
      <c r="AN60" s="19">
        <v>38</v>
      </c>
      <c r="AO60" s="19">
        <v>60</v>
      </c>
      <c r="AP60" s="106">
        <f t="shared" si="8"/>
        <v>98</v>
      </c>
      <c r="AQ60" s="19" t="s">
        <v>66</v>
      </c>
      <c r="AR60" s="19" t="s">
        <v>66</v>
      </c>
      <c r="AS60" s="112" t="s">
        <v>31</v>
      </c>
      <c r="AT60" s="112" t="s">
        <v>31</v>
      </c>
      <c r="AU60" s="19" t="s">
        <v>66</v>
      </c>
      <c r="AV60" s="19" t="s">
        <v>66</v>
      </c>
      <c r="AW60" s="19" t="s">
        <v>67</v>
      </c>
      <c r="AX60" s="19" t="s">
        <v>66</v>
      </c>
      <c r="AY60" s="22">
        <v>48</v>
      </c>
      <c r="AZ60" s="22" t="s">
        <v>67</v>
      </c>
      <c r="BA60" s="19" t="s">
        <v>67</v>
      </c>
      <c r="BB60" s="106">
        <f t="shared" si="4"/>
        <v>48</v>
      </c>
      <c r="BC60" s="21"/>
      <c r="BD60" s="70" t="s">
        <v>66</v>
      </c>
      <c r="BE60" s="70" t="s">
        <v>66</v>
      </c>
      <c r="BF60" s="114" t="str">
        <f t="shared" si="5"/>
        <v>..</v>
      </c>
      <c r="BG60" s="73"/>
      <c r="BH60" s="73"/>
      <c r="BI60" s="71" t="s">
        <v>66</v>
      </c>
      <c r="BJ60" s="71" t="s">
        <v>66</v>
      </c>
      <c r="BK60" s="71" t="s">
        <v>66</v>
      </c>
      <c r="BL60" s="116" t="s">
        <v>66</v>
      </c>
    </row>
    <row r="61" spans="1:64" s="13" customFormat="1" x14ac:dyDescent="0.2">
      <c r="A61" s="13" t="str">
        <f t="shared" si="0"/>
        <v>1981Q4</v>
      </c>
      <c r="B61" s="11">
        <f>B60</f>
        <v>1981</v>
      </c>
      <c r="C61" s="11" t="s">
        <v>4</v>
      </c>
      <c r="D61" s="43">
        <v>856</v>
      </c>
      <c r="E61" s="43">
        <v>1494</v>
      </c>
      <c r="F61" s="87">
        <f t="shared" si="1"/>
        <v>2350</v>
      </c>
      <c r="G61" s="42" t="s">
        <v>66</v>
      </c>
      <c r="H61" s="42" t="s">
        <v>66</v>
      </c>
      <c r="I61" s="92" t="s">
        <v>66</v>
      </c>
      <c r="J61" s="92" t="s">
        <v>66</v>
      </c>
      <c r="K61" s="92" t="s">
        <v>66</v>
      </c>
      <c r="L61" s="42" t="s">
        <v>66</v>
      </c>
      <c r="M61" s="42" t="s">
        <v>66</v>
      </c>
      <c r="N61" s="42" t="s">
        <v>67</v>
      </c>
      <c r="O61" s="42" t="s">
        <v>67</v>
      </c>
      <c r="P61" s="42" t="s">
        <v>66</v>
      </c>
      <c r="Q61" s="98">
        <v>1387</v>
      </c>
      <c r="R61" s="42" t="s">
        <v>67</v>
      </c>
      <c r="S61" s="42" t="s">
        <v>66</v>
      </c>
      <c r="T61" s="92" t="s">
        <v>66</v>
      </c>
      <c r="U61" s="42" t="s">
        <v>66</v>
      </c>
      <c r="V61" s="92" t="s">
        <v>66</v>
      </c>
      <c r="W61" s="42" t="s">
        <v>66</v>
      </c>
      <c r="X61" s="92" t="s">
        <v>66</v>
      </c>
      <c r="Y61" s="92" t="s">
        <v>66</v>
      </c>
      <c r="Z61" s="92" t="s">
        <v>66</v>
      </c>
      <c r="AA61" s="48" t="s">
        <v>67</v>
      </c>
      <c r="AB61" s="52">
        <v>12</v>
      </c>
      <c r="AC61" s="105">
        <f t="shared" si="6"/>
        <v>1399</v>
      </c>
      <c r="AD61" s="42" t="s">
        <v>66</v>
      </c>
      <c r="AE61" s="48" t="s">
        <v>67</v>
      </c>
      <c r="AF61" s="49" t="str">
        <f t="shared" si="7"/>
        <v>..</v>
      </c>
      <c r="AG61" s="36"/>
      <c r="AH61" s="32"/>
      <c r="AI61" s="108"/>
      <c r="AJ61" s="28"/>
      <c r="AK61" s="25"/>
      <c r="AL61" s="29"/>
      <c r="AM61" s="21"/>
      <c r="AN61" s="19">
        <v>57</v>
      </c>
      <c r="AO61" s="19">
        <v>95</v>
      </c>
      <c r="AP61" s="106">
        <f t="shared" si="8"/>
        <v>152</v>
      </c>
      <c r="AQ61" s="19" t="s">
        <v>66</v>
      </c>
      <c r="AR61" s="19" t="s">
        <v>66</v>
      </c>
      <c r="AS61" s="112" t="s">
        <v>31</v>
      </c>
      <c r="AT61" s="112" t="s">
        <v>31</v>
      </c>
      <c r="AU61" s="19" t="s">
        <v>66</v>
      </c>
      <c r="AV61" s="19" t="s">
        <v>66</v>
      </c>
      <c r="AW61" s="19" t="s">
        <v>67</v>
      </c>
      <c r="AX61" s="19" t="s">
        <v>66</v>
      </c>
      <c r="AY61" s="22">
        <v>58</v>
      </c>
      <c r="AZ61" s="22" t="s">
        <v>67</v>
      </c>
      <c r="BA61" s="19" t="s">
        <v>67</v>
      </c>
      <c r="BB61" s="106">
        <f t="shared" si="4"/>
        <v>58</v>
      </c>
      <c r="BC61" s="21"/>
      <c r="BD61" s="70" t="s">
        <v>66</v>
      </c>
      <c r="BE61" s="70" t="s">
        <v>66</v>
      </c>
      <c r="BF61" s="114" t="str">
        <f t="shared" si="5"/>
        <v>..</v>
      </c>
      <c r="BG61" s="73"/>
      <c r="BH61" s="73"/>
      <c r="BI61" s="71" t="s">
        <v>66</v>
      </c>
      <c r="BJ61" s="71" t="s">
        <v>66</v>
      </c>
      <c r="BK61" s="71" t="s">
        <v>66</v>
      </c>
      <c r="BL61" s="116" t="s">
        <v>66</v>
      </c>
    </row>
    <row r="62" spans="1:64" s="13" customFormat="1" x14ac:dyDescent="0.2">
      <c r="A62" s="13" t="str">
        <f t="shared" si="0"/>
        <v>1982Q1</v>
      </c>
      <c r="B62" s="11">
        <v>1982</v>
      </c>
      <c r="C62" s="63" t="s">
        <v>1</v>
      </c>
      <c r="D62" s="43">
        <v>909</v>
      </c>
      <c r="E62" s="43">
        <v>2213</v>
      </c>
      <c r="F62" s="87">
        <f t="shared" si="1"/>
        <v>3122</v>
      </c>
      <c r="G62" s="42" t="s">
        <v>66</v>
      </c>
      <c r="H62" s="42" t="s">
        <v>66</v>
      </c>
      <c r="I62" s="92" t="s">
        <v>66</v>
      </c>
      <c r="J62" s="92" t="s">
        <v>66</v>
      </c>
      <c r="K62" s="92" t="s">
        <v>66</v>
      </c>
      <c r="L62" s="42" t="s">
        <v>66</v>
      </c>
      <c r="M62" s="42" t="s">
        <v>66</v>
      </c>
      <c r="N62" s="42" t="s">
        <v>67</v>
      </c>
      <c r="O62" s="42" t="s">
        <v>67</v>
      </c>
      <c r="P62" s="42" t="s">
        <v>66</v>
      </c>
      <c r="Q62" s="98">
        <v>1387</v>
      </c>
      <c r="R62" s="42" t="s">
        <v>67</v>
      </c>
      <c r="S62" s="42" t="s">
        <v>66</v>
      </c>
      <c r="T62" s="92" t="s">
        <v>66</v>
      </c>
      <c r="U62" s="42" t="s">
        <v>66</v>
      </c>
      <c r="V62" s="92" t="s">
        <v>66</v>
      </c>
      <c r="W62" s="42" t="s">
        <v>66</v>
      </c>
      <c r="X62" s="92" t="s">
        <v>66</v>
      </c>
      <c r="Y62" s="92" t="s">
        <v>66</v>
      </c>
      <c r="Z62" s="92" t="s">
        <v>66</v>
      </c>
      <c r="AA62" s="48" t="s">
        <v>67</v>
      </c>
      <c r="AB62" s="52">
        <v>9</v>
      </c>
      <c r="AC62" s="105">
        <f t="shared" si="6"/>
        <v>1396</v>
      </c>
      <c r="AD62" s="42" t="s">
        <v>66</v>
      </c>
      <c r="AE62" s="48" t="s">
        <v>67</v>
      </c>
      <c r="AF62" s="49" t="str">
        <f t="shared" si="7"/>
        <v>..</v>
      </c>
      <c r="AG62" s="36"/>
      <c r="AH62" s="32"/>
      <c r="AI62" s="108"/>
      <c r="AJ62" s="28"/>
      <c r="AK62" s="25"/>
      <c r="AL62" s="29"/>
      <c r="AM62" s="21"/>
      <c r="AN62" s="19">
        <v>43</v>
      </c>
      <c r="AO62" s="19">
        <v>80</v>
      </c>
      <c r="AP62" s="106">
        <f t="shared" si="8"/>
        <v>123</v>
      </c>
      <c r="AQ62" s="19" t="s">
        <v>66</v>
      </c>
      <c r="AR62" s="19" t="s">
        <v>66</v>
      </c>
      <c r="AS62" s="112" t="s">
        <v>31</v>
      </c>
      <c r="AT62" s="112" t="s">
        <v>31</v>
      </c>
      <c r="AU62" s="19" t="s">
        <v>66</v>
      </c>
      <c r="AV62" s="19" t="s">
        <v>66</v>
      </c>
      <c r="AW62" s="19" t="s">
        <v>67</v>
      </c>
      <c r="AX62" s="19" t="s">
        <v>66</v>
      </c>
      <c r="AY62" s="22">
        <v>56</v>
      </c>
      <c r="AZ62" s="22" t="s">
        <v>67</v>
      </c>
      <c r="BA62" s="19" t="s">
        <v>67</v>
      </c>
      <c r="BB62" s="106">
        <f t="shared" si="4"/>
        <v>56</v>
      </c>
      <c r="BC62" s="21"/>
      <c r="BD62" s="70" t="s">
        <v>66</v>
      </c>
      <c r="BE62" s="70" t="s">
        <v>66</v>
      </c>
      <c r="BF62" s="114" t="str">
        <f t="shared" si="5"/>
        <v>..</v>
      </c>
      <c r="BG62" s="73"/>
      <c r="BH62" s="73"/>
      <c r="BI62" s="71" t="s">
        <v>66</v>
      </c>
      <c r="BJ62" s="71" t="s">
        <v>66</v>
      </c>
      <c r="BK62" s="71" t="s">
        <v>66</v>
      </c>
      <c r="BL62" s="116" t="s">
        <v>66</v>
      </c>
    </row>
    <row r="63" spans="1:64" s="13" customFormat="1" x14ac:dyDescent="0.2">
      <c r="A63" s="13" t="str">
        <f t="shared" si="0"/>
        <v>1982Q2</v>
      </c>
      <c r="B63" s="11">
        <f>B62</f>
        <v>1982</v>
      </c>
      <c r="C63" s="11" t="s">
        <v>2</v>
      </c>
      <c r="D63" s="43">
        <v>1040</v>
      </c>
      <c r="E63" s="43">
        <v>2042</v>
      </c>
      <c r="F63" s="87">
        <f t="shared" si="1"/>
        <v>3082</v>
      </c>
      <c r="G63" s="42" t="s">
        <v>66</v>
      </c>
      <c r="H63" s="42" t="s">
        <v>66</v>
      </c>
      <c r="I63" s="92" t="s">
        <v>66</v>
      </c>
      <c r="J63" s="92" t="s">
        <v>66</v>
      </c>
      <c r="K63" s="92" t="s">
        <v>66</v>
      </c>
      <c r="L63" s="42" t="s">
        <v>66</v>
      </c>
      <c r="M63" s="42" t="s">
        <v>66</v>
      </c>
      <c r="N63" s="42" t="s">
        <v>67</v>
      </c>
      <c r="O63" s="42" t="s">
        <v>67</v>
      </c>
      <c r="P63" s="42" t="s">
        <v>66</v>
      </c>
      <c r="Q63" s="98">
        <v>1423</v>
      </c>
      <c r="R63" s="42" t="s">
        <v>67</v>
      </c>
      <c r="S63" s="42" t="s">
        <v>66</v>
      </c>
      <c r="T63" s="92" t="s">
        <v>66</v>
      </c>
      <c r="U63" s="42" t="s">
        <v>66</v>
      </c>
      <c r="V63" s="92" t="s">
        <v>66</v>
      </c>
      <c r="W63" s="42" t="s">
        <v>66</v>
      </c>
      <c r="X63" s="92" t="s">
        <v>66</v>
      </c>
      <c r="Y63" s="92" t="s">
        <v>66</v>
      </c>
      <c r="Z63" s="92" t="s">
        <v>66</v>
      </c>
      <c r="AA63" s="48" t="s">
        <v>67</v>
      </c>
      <c r="AB63" s="52">
        <v>15</v>
      </c>
      <c r="AC63" s="105">
        <f t="shared" si="6"/>
        <v>1438</v>
      </c>
      <c r="AD63" s="42" t="s">
        <v>66</v>
      </c>
      <c r="AE63" s="48" t="s">
        <v>67</v>
      </c>
      <c r="AF63" s="49" t="str">
        <f t="shared" si="7"/>
        <v>..</v>
      </c>
      <c r="AG63" s="36"/>
      <c r="AH63" s="32"/>
      <c r="AI63" s="108"/>
      <c r="AJ63" s="28"/>
      <c r="AK63" s="25"/>
      <c r="AL63" s="29"/>
      <c r="AM63" s="21"/>
      <c r="AN63" s="19">
        <v>37</v>
      </c>
      <c r="AO63" s="19">
        <v>95</v>
      </c>
      <c r="AP63" s="106">
        <f t="shared" si="8"/>
        <v>132</v>
      </c>
      <c r="AQ63" s="19" t="s">
        <v>66</v>
      </c>
      <c r="AR63" s="19" t="s">
        <v>66</v>
      </c>
      <c r="AS63" s="112" t="s">
        <v>31</v>
      </c>
      <c r="AT63" s="112" t="s">
        <v>31</v>
      </c>
      <c r="AU63" s="19" t="s">
        <v>66</v>
      </c>
      <c r="AV63" s="19" t="s">
        <v>66</v>
      </c>
      <c r="AW63" s="19" t="s">
        <v>67</v>
      </c>
      <c r="AX63" s="19" t="s">
        <v>66</v>
      </c>
      <c r="AY63" s="22">
        <v>56</v>
      </c>
      <c r="AZ63" s="22" t="s">
        <v>67</v>
      </c>
      <c r="BA63" s="19" t="s">
        <v>67</v>
      </c>
      <c r="BB63" s="106">
        <f t="shared" si="4"/>
        <v>56</v>
      </c>
      <c r="BC63" s="21"/>
      <c r="BD63" s="70" t="s">
        <v>66</v>
      </c>
      <c r="BE63" s="70" t="s">
        <v>66</v>
      </c>
      <c r="BF63" s="114" t="str">
        <f t="shared" si="5"/>
        <v>..</v>
      </c>
      <c r="BG63" s="73"/>
      <c r="BH63" s="73"/>
      <c r="BI63" s="71" t="s">
        <v>66</v>
      </c>
      <c r="BJ63" s="71" t="s">
        <v>66</v>
      </c>
      <c r="BK63" s="71" t="s">
        <v>66</v>
      </c>
      <c r="BL63" s="116" t="s">
        <v>66</v>
      </c>
    </row>
    <row r="64" spans="1:64" s="13" customFormat="1" x14ac:dyDescent="0.2">
      <c r="A64" s="13" t="str">
        <f t="shared" si="0"/>
        <v>1982Q3</v>
      </c>
      <c r="B64" s="11">
        <f>B63</f>
        <v>1982</v>
      </c>
      <c r="C64" s="11" t="s">
        <v>3</v>
      </c>
      <c r="D64" s="43">
        <v>395</v>
      </c>
      <c r="E64" s="43">
        <v>2066</v>
      </c>
      <c r="F64" s="87">
        <f t="shared" si="1"/>
        <v>2461</v>
      </c>
      <c r="G64" s="42" t="s">
        <v>66</v>
      </c>
      <c r="H64" s="42" t="s">
        <v>66</v>
      </c>
      <c r="I64" s="92" t="s">
        <v>66</v>
      </c>
      <c r="J64" s="92" t="s">
        <v>66</v>
      </c>
      <c r="K64" s="92" t="s">
        <v>66</v>
      </c>
      <c r="L64" s="42" t="s">
        <v>66</v>
      </c>
      <c r="M64" s="42" t="s">
        <v>66</v>
      </c>
      <c r="N64" s="42" t="s">
        <v>67</v>
      </c>
      <c r="O64" s="42" t="s">
        <v>67</v>
      </c>
      <c r="P64" s="42" t="s">
        <v>66</v>
      </c>
      <c r="Q64" s="98">
        <v>1357</v>
      </c>
      <c r="R64" s="42" t="s">
        <v>67</v>
      </c>
      <c r="S64" s="42" t="s">
        <v>66</v>
      </c>
      <c r="T64" s="92" t="s">
        <v>66</v>
      </c>
      <c r="U64" s="42" t="s">
        <v>66</v>
      </c>
      <c r="V64" s="92" t="s">
        <v>66</v>
      </c>
      <c r="W64" s="42" t="s">
        <v>66</v>
      </c>
      <c r="X64" s="92" t="s">
        <v>66</v>
      </c>
      <c r="Y64" s="92" t="s">
        <v>66</v>
      </c>
      <c r="Z64" s="92" t="s">
        <v>66</v>
      </c>
      <c r="AA64" s="48" t="s">
        <v>67</v>
      </c>
      <c r="AB64" s="52">
        <v>7</v>
      </c>
      <c r="AC64" s="105">
        <f t="shared" si="6"/>
        <v>1364</v>
      </c>
      <c r="AD64" s="42" t="s">
        <v>66</v>
      </c>
      <c r="AE64" s="48" t="s">
        <v>67</v>
      </c>
      <c r="AF64" s="49" t="str">
        <f t="shared" si="7"/>
        <v>..</v>
      </c>
      <c r="AG64" s="36"/>
      <c r="AH64" s="32"/>
      <c r="AI64" s="108"/>
      <c r="AJ64" s="28"/>
      <c r="AK64" s="25"/>
      <c r="AL64" s="29"/>
      <c r="AM64" s="21"/>
      <c r="AN64" s="19">
        <v>48</v>
      </c>
      <c r="AO64" s="19">
        <v>69</v>
      </c>
      <c r="AP64" s="106">
        <f t="shared" si="8"/>
        <v>117</v>
      </c>
      <c r="AQ64" s="19" t="s">
        <v>66</v>
      </c>
      <c r="AR64" s="19" t="s">
        <v>66</v>
      </c>
      <c r="AS64" s="112" t="s">
        <v>31</v>
      </c>
      <c r="AT64" s="112" t="s">
        <v>31</v>
      </c>
      <c r="AU64" s="19" t="s">
        <v>66</v>
      </c>
      <c r="AV64" s="19" t="s">
        <v>66</v>
      </c>
      <c r="AW64" s="19" t="s">
        <v>67</v>
      </c>
      <c r="AX64" s="19" t="s">
        <v>66</v>
      </c>
      <c r="AY64" s="22">
        <v>57</v>
      </c>
      <c r="AZ64" s="22" t="s">
        <v>67</v>
      </c>
      <c r="BA64" s="19" t="s">
        <v>67</v>
      </c>
      <c r="BB64" s="106">
        <f t="shared" si="4"/>
        <v>57</v>
      </c>
      <c r="BC64" s="21"/>
      <c r="BD64" s="70" t="s">
        <v>66</v>
      </c>
      <c r="BE64" s="70" t="s">
        <v>66</v>
      </c>
      <c r="BF64" s="114" t="str">
        <f t="shared" si="5"/>
        <v>..</v>
      </c>
      <c r="BG64" s="73"/>
      <c r="BH64" s="73"/>
      <c r="BI64" s="71" t="s">
        <v>66</v>
      </c>
      <c r="BJ64" s="71" t="s">
        <v>66</v>
      </c>
      <c r="BK64" s="71" t="s">
        <v>66</v>
      </c>
      <c r="BL64" s="116" t="s">
        <v>66</v>
      </c>
    </row>
    <row r="65" spans="1:64" s="13" customFormat="1" x14ac:dyDescent="0.2">
      <c r="A65" s="13" t="str">
        <f t="shared" si="0"/>
        <v>1982Q4</v>
      </c>
      <c r="B65" s="11">
        <f>B64</f>
        <v>1982</v>
      </c>
      <c r="C65" s="11" t="s">
        <v>4</v>
      </c>
      <c r="D65" s="43">
        <v>1401</v>
      </c>
      <c r="E65" s="43">
        <v>2001</v>
      </c>
      <c r="F65" s="87">
        <f t="shared" si="1"/>
        <v>3402</v>
      </c>
      <c r="G65" s="42" t="s">
        <v>66</v>
      </c>
      <c r="H65" s="42" t="s">
        <v>66</v>
      </c>
      <c r="I65" s="92" t="s">
        <v>66</v>
      </c>
      <c r="J65" s="92" t="s">
        <v>66</v>
      </c>
      <c r="K65" s="92" t="s">
        <v>66</v>
      </c>
      <c r="L65" s="42" t="s">
        <v>66</v>
      </c>
      <c r="M65" s="42" t="s">
        <v>66</v>
      </c>
      <c r="N65" s="42" t="s">
        <v>67</v>
      </c>
      <c r="O65" s="42" t="s">
        <v>67</v>
      </c>
      <c r="P65" s="42" t="s">
        <v>66</v>
      </c>
      <c r="Q65" s="98">
        <v>1487</v>
      </c>
      <c r="R65" s="42" t="s">
        <v>67</v>
      </c>
      <c r="S65" s="42" t="s">
        <v>66</v>
      </c>
      <c r="T65" s="92" t="s">
        <v>66</v>
      </c>
      <c r="U65" s="42" t="s">
        <v>66</v>
      </c>
      <c r="V65" s="92" t="s">
        <v>66</v>
      </c>
      <c r="W65" s="42" t="s">
        <v>66</v>
      </c>
      <c r="X65" s="92" t="s">
        <v>66</v>
      </c>
      <c r="Y65" s="92" t="s">
        <v>66</v>
      </c>
      <c r="Z65" s="92" t="s">
        <v>66</v>
      </c>
      <c r="AA65" s="48" t="s">
        <v>67</v>
      </c>
      <c r="AB65" s="52">
        <v>15</v>
      </c>
      <c r="AC65" s="105">
        <f t="shared" si="6"/>
        <v>1502</v>
      </c>
      <c r="AD65" s="42" t="s">
        <v>66</v>
      </c>
      <c r="AE65" s="48" t="s">
        <v>67</v>
      </c>
      <c r="AF65" s="49" t="str">
        <f t="shared" si="7"/>
        <v>..</v>
      </c>
      <c r="AG65" s="36"/>
      <c r="AH65" s="32"/>
      <c r="AI65" s="108"/>
      <c r="AJ65" s="28"/>
      <c r="AK65" s="25"/>
      <c r="AL65" s="29"/>
      <c r="AM65" s="21"/>
      <c r="AN65" s="19">
        <v>49</v>
      </c>
      <c r="AO65" s="19">
        <v>82</v>
      </c>
      <c r="AP65" s="106">
        <f t="shared" si="8"/>
        <v>131</v>
      </c>
      <c r="AQ65" s="19" t="s">
        <v>66</v>
      </c>
      <c r="AR65" s="19" t="s">
        <v>66</v>
      </c>
      <c r="AS65" s="112" t="s">
        <v>31</v>
      </c>
      <c r="AT65" s="112" t="s">
        <v>31</v>
      </c>
      <c r="AU65" s="19" t="s">
        <v>66</v>
      </c>
      <c r="AV65" s="19" t="s">
        <v>66</v>
      </c>
      <c r="AW65" s="19" t="s">
        <v>67</v>
      </c>
      <c r="AX65" s="19" t="s">
        <v>66</v>
      </c>
      <c r="AY65" s="22">
        <v>44</v>
      </c>
      <c r="AZ65" s="22" t="s">
        <v>67</v>
      </c>
      <c r="BA65" s="19" t="s">
        <v>67</v>
      </c>
      <c r="BB65" s="106">
        <f t="shared" si="4"/>
        <v>44</v>
      </c>
      <c r="BC65" s="21"/>
      <c r="BD65" s="70" t="s">
        <v>66</v>
      </c>
      <c r="BE65" s="70" t="s">
        <v>66</v>
      </c>
      <c r="BF65" s="114" t="str">
        <f t="shared" si="5"/>
        <v>..</v>
      </c>
      <c r="BG65" s="73"/>
      <c r="BH65" s="73"/>
      <c r="BI65" s="71" t="s">
        <v>66</v>
      </c>
      <c r="BJ65" s="71" t="s">
        <v>66</v>
      </c>
      <c r="BK65" s="71" t="s">
        <v>66</v>
      </c>
      <c r="BL65" s="116" t="s">
        <v>66</v>
      </c>
    </row>
    <row r="66" spans="1:64" s="13" customFormat="1" x14ac:dyDescent="0.2">
      <c r="A66" s="13" t="str">
        <f t="shared" si="0"/>
        <v>1983Q1</v>
      </c>
      <c r="B66" s="11">
        <v>1983</v>
      </c>
      <c r="C66" s="63" t="s">
        <v>1</v>
      </c>
      <c r="D66" s="43">
        <v>1183</v>
      </c>
      <c r="E66" s="43">
        <v>2214</v>
      </c>
      <c r="F66" s="87">
        <f t="shared" si="1"/>
        <v>3397</v>
      </c>
      <c r="G66" s="42" t="s">
        <v>66</v>
      </c>
      <c r="H66" s="42" t="s">
        <v>66</v>
      </c>
      <c r="I66" s="92" t="s">
        <v>66</v>
      </c>
      <c r="J66" s="92" t="s">
        <v>66</v>
      </c>
      <c r="K66" s="92" t="s">
        <v>66</v>
      </c>
      <c r="L66" s="42" t="s">
        <v>66</v>
      </c>
      <c r="M66" s="42" t="s">
        <v>66</v>
      </c>
      <c r="N66" s="42" t="s">
        <v>67</v>
      </c>
      <c r="O66" s="42" t="s">
        <v>67</v>
      </c>
      <c r="P66" s="42" t="s">
        <v>66</v>
      </c>
      <c r="Q66" s="98">
        <v>1752</v>
      </c>
      <c r="R66" s="42" t="s">
        <v>67</v>
      </c>
      <c r="S66" s="42" t="s">
        <v>66</v>
      </c>
      <c r="T66" s="92" t="s">
        <v>66</v>
      </c>
      <c r="U66" s="42" t="s">
        <v>66</v>
      </c>
      <c r="V66" s="92" t="s">
        <v>66</v>
      </c>
      <c r="W66" s="42" t="s">
        <v>66</v>
      </c>
      <c r="X66" s="92" t="s">
        <v>66</v>
      </c>
      <c r="Y66" s="92" t="s">
        <v>66</v>
      </c>
      <c r="Z66" s="92" t="s">
        <v>66</v>
      </c>
      <c r="AA66" s="48" t="s">
        <v>67</v>
      </c>
      <c r="AB66" s="52">
        <v>15</v>
      </c>
      <c r="AC66" s="105">
        <f t="shared" si="6"/>
        <v>1767</v>
      </c>
      <c r="AD66" s="42" t="s">
        <v>66</v>
      </c>
      <c r="AE66" s="48" t="s">
        <v>67</v>
      </c>
      <c r="AF66" s="49" t="str">
        <f t="shared" si="7"/>
        <v>..</v>
      </c>
      <c r="AG66" s="36"/>
      <c r="AH66" s="32"/>
      <c r="AI66" s="108"/>
      <c r="AJ66" s="28"/>
      <c r="AK66" s="25"/>
      <c r="AL66" s="29"/>
      <c r="AM66" s="21"/>
      <c r="AN66" s="19">
        <v>75</v>
      </c>
      <c r="AO66" s="19">
        <v>91</v>
      </c>
      <c r="AP66" s="106">
        <f t="shared" si="8"/>
        <v>166</v>
      </c>
      <c r="AQ66" s="19" t="s">
        <v>66</v>
      </c>
      <c r="AR66" s="19" t="s">
        <v>66</v>
      </c>
      <c r="AS66" s="112" t="s">
        <v>31</v>
      </c>
      <c r="AT66" s="112" t="s">
        <v>31</v>
      </c>
      <c r="AU66" s="19" t="s">
        <v>66</v>
      </c>
      <c r="AV66" s="19" t="s">
        <v>66</v>
      </c>
      <c r="AW66" s="19" t="s">
        <v>67</v>
      </c>
      <c r="AX66" s="19" t="s">
        <v>66</v>
      </c>
      <c r="AY66" s="22">
        <v>78</v>
      </c>
      <c r="AZ66" s="22" t="s">
        <v>67</v>
      </c>
      <c r="BA66" s="19" t="s">
        <v>67</v>
      </c>
      <c r="BB66" s="106">
        <f t="shared" si="4"/>
        <v>78</v>
      </c>
      <c r="BC66" s="21"/>
      <c r="BD66" s="70" t="s">
        <v>66</v>
      </c>
      <c r="BE66" s="70" t="s">
        <v>66</v>
      </c>
      <c r="BF66" s="114" t="str">
        <f t="shared" si="5"/>
        <v>..</v>
      </c>
      <c r="BG66" s="73"/>
      <c r="BH66" s="73"/>
      <c r="BI66" s="71" t="s">
        <v>66</v>
      </c>
      <c r="BJ66" s="71" t="s">
        <v>66</v>
      </c>
      <c r="BK66" s="71" t="s">
        <v>66</v>
      </c>
      <c r="BL66" s="116" t="s">
        <v>66</v>
      </c>
    </row>
    <row r="67" spans="1:64" s="13" customFormat="1" x14ac:dyDescent="0.2">
      <c r="A67" s="13" t="str">
        <f t="shared" si="0"/>
        <v>1983Q2</v>
      </c>
      <c r="B67" s="11">
        <f>B66</f>
        <v>1983</v>
      </c>
      <c r="C67" s="11" t="s">
        <v>2</v>
      </c>
      <c r="D67" s="43">
        <v>1196</v>
      </c>
      <c r="E67" s="43">
        <v>2228</v>
      </c>
      <c r="F67" s="87">
        <f t="shared" si="1"/>
        <v>3424</v>
      </c>
      <c r="G67" s="42" t="s">
        <v>66</v>
      </c>
      <c r="H67" s="42" t="s">
        <v>66</v>
      </c>
      <c r="I67" s="92" t="s">
        <v>66</v>
      </c>
      <c r="J67" s="92" t="s">
        <v>66</v>
      </c>
      <c r="K67" s="92" t="s">
        <v>66</v>
      </c>
      <c r="L67" s="42" t="s">
        <v>66</v>
      </c>
      <c r="M67" s="42" t="s">
        <v>66</v>
      </c>
      <c r="N67" s="42" t="s">
        <v>67</v>
      </c>
      <c r="O67" s="42" t="s">
        <v>67</v>
      </c>
      <c r="P67" s="42" t="s">
        <v>66</v>
      </c>
      <c r="Q67" s="98">
        <v>1750</v>
      </c>
      <c r="R67" s="42" t="s">
        <v>67</v>
      </c>
      <c r="S67" s="42" t="s">
        <v>66</v>
      </c>
      <c r="T67" s="92" t="s">
        <v>66</v>
      </c>
      <c r="U67" s="42" t="s">
        <v>66</v>
      </c>
      <c r="V67" s="92" t="s">
        <v>66</v>
      </c>
      <c r="W67" s="42" t="s">
        <v>66</v>
      </c>
      <c r="X67" s="92" t="s">
        <v>66</v>
      </c>
      <c r="Y67" s="92" t="s">
        <v>66</v>
      </c>
      <c r="Z67" s="92" t="s">
        <v>66</v>
      </c>
      <c r="AA67" s="48" t="s">
        <v>67</v>
      </c>
      <c r="AB67" s="52">
        <v>10</v>
      </c>
      <c r="AC67" s="105">
        <f t="shared" si="6"/>
        <v>1760</v>
      </c>
      <c r="AD67" s="42" t="s">
        <v>66</v>
      </c>
      <c r="AE67" s="48" t="s">
        <v>67</v>
      </c>
      <c r="AF67" s="49" t="str">
        <f t="shared" si="7"/>
        <v>..</v>
      </c>
      <c r="AG67" s="36"/>
      <c r="AH67" s="32"/>
      <c r="AI67" s="108"/>
      <c r="AJ67" s="28"/>
      <c r="AK67" s="25"/>
      <c r="AL67" s="29"/>
      <c r="AM67" s="21"/>
      <c r="AN67" s="19">
        <v>71</v>
      </c>
      <c r="AO67" s="19">
        <v>68</v>
      </c>
      <c r="AP67" s="106">
        <f t="shared" si="8"/>
        <v>139</v>
      </c>
      <c r="AQ67" s="19" t="s">
        <v>66</v>
      </c>
      <c r="AR67" s="19" t="s">
        <v>66</v>
      </c>
      <c r="AS67" s="112" t="s">
        <v>31</v>
      </c>
      <c r="AT67" s="112" t="s">
        <v>31</v>
      </c>
      <c r="AU67" s="19" t="s">
        <v>66</v>
      </c>
      <c r="AV67" s="19" t="s">
        <v>66</v>
      </c>
      <c r="AW67" s="19" t="s">
        <v>67</v>
      </c>
      <c r="AX67" s="19" t="s">
        <v>66</v>
      </c>
      <c r="AY67" s="22">
        <v>52</v>
      </c>
      <c r="AZ67" s="22" t="s">
        <v>67</v>
      </c>
      <c r="BA67" s="19" t="s">
        <v>67</v>
      </c>
      <c r="BB67" s="106">
        <f t="shared" si="4"/>
        <v>52</v>
      </c>
      <c r="BC67" s="21"/>
      <c r="BD67" s="70" t="s">
        <v>66</v>
      </c>
      <c r="BE67" s="70" t="s">
        <v>66</v>
      </c>
      <c r="BF67" s="114" t="str">
        <f t="shared" si="5"/>
        <v>..</v>
      </c>
      <c r="BG67" s="73"/>
      <c r="BH67" s="73"/>
      <c r="BI67" s="71" t="s">
        <v>66</v>
      </c>
      <c r="BJ67" s="71" t="s">
        <v>66</v>
      </c>
      <c r="BK67" s="71" t="s">
        <v>66</v>
      </c>
      <c r="BL67" s="116" t="s">
        <v>66</v>
      </c>
    </row>
    <row r="68" spans="1:64" s="13" customFormat="1" x14ac:dyDescent="0.2">
      <c r="A68" s="13" t="str">
        <f t="shared" si="0"/>
        <v>1983Q3</v>
      </c>
      <c r="B68" s="11">
        <f>B67</f>
        <v>1983</v>
      </c>
      <c r="C68" s="11" t="s">
        <v>3</v>
      </c>
      <c r="D68" s="43">
        <v>601</v>
      </c>
      <c r="E68" s="43">
        <v>2120</v>
      </c>
      <c r="F68" s="87">
        <f t="shared" si="1"/>
        <v>2721</v>
      </c>
      <c r="G68" s="42" t="s">
        <v>66</v>
      </c>
      <c r="H68" s="42" t="s">
        <v>66</v>
      </c>
      <c r="I68" s="92" t="s">
        <v>66</v>
      </c>
      <c r="J68" s="92" t="s">
        <v>66</v>
      </c>
      <c r="K68" s="92" t="s">
        <v>66</v>
      </c>
      <c r="L68" s="42" t="s">
        <v>66</v>
      </c>
      <c r="M68" s="42" t="s">
        <v>66</v>
      </c>
      <c r="N68" s="42" t="s">
        <v>67</v>
      </c>
      <c r="O68" s="42" t="s">
        <v>67</v>
      </c>
      <c r="P68" s="42" t="s">
        <v>66</v>
      </c>
      <c r="Q68" s="98">
        <v>1561</v>
      </c>
      <c r="R68" s="42" t="s">
        <v>67</v>
      </c>
      <c r="S68" s="42" t="s">
        <v>66</v>
      </c>
      <c r="T68" s="92" t="s">
        <v>66</v>
      </c>
      <c r="U68" s="42" t="s">
        <v>66</v>
      </c>
      <c r="V68" s="92" t="s">
        <v>66</v>
      </c>
      <c r="W68" s="42" t="s">
        <v>66</v>
      </c>
      <c r="X68" s="92" t="s">
        <v>66</v>
      </c>
      <c r="Y68" s="92" t="s">
        <v>66</v>
      </c>
      <c r="Z68" s="92" t="s">
        <v>66</v>
      </c>
      <c r="AA68" s="48" t="s">
        <v>67</v>
      </c>
      <c r="AB68" s="52">
        <v>16</v>
      </c>
      <c r="AC68" s="105">
        <f t="shared" si="6"/>
        <v>1577</v>
      </c>
      <c r="AD68" s="42" t="s">
        <v>66</v>
      </c>
      <c r="AE68" s="48" t="s">
        <v>67</v>
      </c>
      <c r="AF68" s="49" t="str">
        <f t="shared" si="7"/>
        <v>..</v>
      </c>
      <c r="AG68" s="36"/>
      <c r="AH68" s="32"/>
      <c r="AI68" s="108"/>
      <c r="AJ68" s="28"/>
      <c r="AK68" s="25"/>
      <c r="AL68" s="29"/>
      <c r="AM68" s="21"/>
      <c r="AN68" s="19">
        <v>55</v>
      </c>
      <c r="AO68" s="19">
        <v>49</v>
      </c>
      <c r="AP68" s="106">
        <f t="shared" si="8"/>
        <v>104</v>
      </c>
      <c r="AQ68" s="19" t="s">
        <v>66</v>
      </c>
      <c r="AR68" s="19" t="s">
        <v>66</v>
      </c>
      <c r="AS68" s="112" t="s">
        <v>31</v>
      </c>
      <c r="AT68" s="112" t="s">
        <v>31</v>
      </c>
      <c r="AU68" s="19" t="s">
        <v>66</v>
      </c>
      <c r="AV68" s="19" t="s">
        <v>66</v>
      </c>
      <c r="AW68" s="19" t="s">
        <v>67</v>
      </c>
      <c r="AX68" s="19" t="s">
        <v>66</v>
      </c>
      <c r="AY68" s="22">
        <v>80</v>
      </c>
      <c r="AZ68" s="22" t="s">
        <v>67</v>
      </c>
      <c r="BA68" s="19" t="s">
        <v>67</v>
      </c>
      <c r="BB68" s="106">
        <f t="shared" si="4"/>
        <v>80</v>
      </c>
      <c r="BC68" s="21"/>
      <c r="BD68" s="70" t="s">
        <v>66</v>
      </c>
      <c r="BE68" s="70" t="s">
        <v>66</v>
      </c>
      <c r="BF68" s="114" t="str">
        <f t="shared" si="5"/>
        <v>..</v>
      </c>
      <c r="BG68" s="73"/>
      <c r="BH68" s="73"/>
      <c r="BI68" s="71" t="s">
        <v>66</v>
      </c>
      <c r="BJ68" s="71" t="s">
        <v>66</v>
      </c>
      <c r="BK68" s="71" t="s">
        <v>66</v>
      </c>
      <c r="BL68" s="116" t="s">
        <v>66</v>
      </c>
    </row>
    <row r="69" spans="1:64" s="13" customFormat="1" x14ac:dyDescent="0.2">
      <c r="A69" s="13" t="str">
        <f t="shared" si="0"/>
        <v>1983Q4</v>
      </c>
      <c r="B69" s="11">
        <f>B68</f>
        <v>1983</v>
      </c>
      <c r="C69" s="11" t="s">
        <v>4</v>
      </c>
      <c r="D69" s="43">
        <v>1827</v>
      </c>
      <c r="E69" s="43">
        <v>2037</v>
      </c>
      <c r="F69" s="87">
        <f t="shared" si="1"/>
        <v>3864</v>
      </c>
      <c r="G69" s="42" t="s">
        <v>66</v>
      </c>
      <c r="H69" s="42" t="s">
        <v>66</v>
      </c>
      <c r="I69" s="92" t="s">
        <v>66</v>
      </c>
      <c r="J69" s="92" t="s">
        <v>66</v>
      </c>
      <c r="K69" s="92" t="s">
        <v>66</v>
      </c>
      <c r="L69" s="42" t="s">
        <v>66</v>
      </c>
      <c r="M69" s="42" t="s">
        <v>66</v>
      </c>
      <c r="N69" s="42" t="s">
        <v>67</v>
      </c>
      <c r="O69" s="42" t="s">
        <v>67</v>
      </c>
      <c r="P69" s="42" t="s">
        <v>66</v>
      </c>
      <c r="Q69" s="98">
        <v>1918</v>
      </c>
      <c r="R69" s="42" t="s">
        <v>67</v>
      </c>
      <c r="S69" s="42" t="s">
        <v>66</v>
      </c>
      <c r="T69" s="92" t="s">
        <v>66</v>
      </c>
      <c r="U69" s="42" t="s">
        <v>66</v>
      </c>
      <c r="V69" s="92" t="s">
        <v>66</v>
      </c>
      <c r="W69" s="42" t="s">
        <v>66</v>
      </c>
      <c r="X69" s="92" t="s">
        <v>66</v>
      </c>
      <c r="Y69" s="92" t="s">
        <v>66</v>
      </c>
      <c r="Z69" s="92" t="s">
        <v>66</v>
      </c>
      <c r="AA69" s="48" t="s">
        <v>67</v>
      </c>
      <c r="AB69" s="52">
        <v>10</v>
      </c>
      <c r="AC69" s="105">
        <f t="shared" si="6"/>
        <v>1928</v>
      </c>
      <c r="AD69" s="42" t="s">
        <v>66</v>
      </c>
      <c r="AE69" s="48" t="s">
        <v>67</v>
      </c>
      <c r="AF69" s="49" t="str">
        <f t="shared" si="7"/>
        <v>..</v>
      </c>
      <c r="AG69" s="36"/>
      <c r="AH69" s="32"/>
      <c r="AI69" s="108"/>
      <c r="AJ69" s="28"/>
      <c r="AK69" s="25"/>
      <c r="AL69" s="29"/>
      <c r="AM69" s="21"/>
      <c r="AN69" s="19">
        <v>62</v>
      </c>
      <c r="AO69" s="19">
        <v>50</v>
      </c>
      <c r="AP69" s="106">
        <f t="shared" si="8"/>
        <v>112</v>
      </c>
      <c r="AQ69" s="19" t="s">
        <v>66</v>
      </c>
      <c r="AR69" s="19" t="s">
        <v>66</v>
      </c>
      <c r="AS69" s="112" t="s">
        <v>31</v>
      </c>
      <c r="AT69" s="112" t="s">
        <v>31</v>
      </c>
      <c r="AU69" s="19" t="s">
        <v>66</v>
      </c>
      <c r="AV69" s="19" t="s">
        <v>66</v>
      </c>
      <c r="AW69" s="19" t="s">
        <v>67</v>
      </c>
      <c r="AX69" s="19" t="s">
        <v>66</v>
      </c>
      <c r="AY69" s="22">
        <v>72</v>
      </c>
      <c r="AZ69" s="22" t="s">
        <v>67</v>
      </c>
      <c r="BA69" s="19" t="s">
        <v>67</v>
      </c>
      <c r="BB69" s="106">
        <f t="shared" si="4"/>
        <v>72</v>
      </c>
      <c r="BC69" s="21"/>
      <c r="BD69" s="70" t="s">
        <v>66</v>
      </c>
      <c r="BE69" s="70" t="s">
        <v>66</v>
      </c>
      <c r="BF69" s="114" t="str">
        <f t="shared" si="5"/>
        <v>..</v>
      </c>
      <c r="BG69" s="73"/>
      <c r="BH69" s="73"/>
      <c r="BI69" s="71" t="s">
        <v>66</v>
      </c>
      <c r="BJ69" s="71" t="s">
        <v>66</v>
      </c>
      <c r="BK69" s="71" t="s">
        <v>66</v>
      </c>
      <c r="BL69" s="116" t="s">
        <v>66</v>
      </c>
    </row>
    <row r="70" spans="1:64" s="13" customFormat="1" x14ac:dyDescent="0.2">
      <c r="A70" s="13" t="str">
        <f t="shared" ref="A70:A133" si="9">B70&amp;C70</f>
        <v>1984Q1</v>
      </c>
      <c r="B70" s="11">
        <v>1984</v>
      </c>
      <c r="C70" s="63" t="s">
        <v>1</v>
      </c>
      <c r="D70" s="43">
        <v>1363</v>
      </c>
      <c r="E70" s="43">
        <v>2234</v>
      </c>
      <c r="F70" s="87">
        <f t="shared" ref="F70:F133" si="10">D70+E70</f>
        <v>3597</v>
      </c>
      <c r="G70" s="41">
        <v>830292</v>
      </c>
      <c r="H70" s="42" t="s">
        <v>66</v>
      </c>
      <c r="I70" s="92" t="s">
        <v>66</v>
      </c>
      <c r="J70" s="94" t="s">
        <v>31</v>
      </c>
      <c r="K70" s="94" t="s">
        <v>31</v>
      </c>
      <c r="L70" s="42" t="s">
        <v>66</v>
      </c>
      <c r="M70" s="42" t="s">
        <v>66</v>
      </c>
      <c r="N70" s="42" t="s">
        <v>67</v>
      </c>
      <c r="O70" s="42" t="s">
        <v>67</v>
      </c>
      <c r="P70" s="42" t="s">
        <v>66</v>
      </c>
      <c r="Q70" s="98">
        <v>2273</v>
      </c>
      <c r="R70" s="42" t="s">
        <v>67</v>
      </c>
      <c r="S70" s="42" t="s">
        <v>66</v>
      </c>
      <c r="T70" s="92" t="s">
        <v>66</v>
      </c>
      <c r="U70" s="42" t="s">
        <v>66</v>
      </c>
      <c r="V70" s="92" t="s">
        <v>66</v>
      </c>
      <c r="W70" s="42" t="s">
        <v>66</v>
      </c>
      <c r="X70" s="92" t="s">
        <v>66</v>
      </c>
      <c r="Y70" s="92" t="s">
        <v>66</v>
      </c>
      <c r="Z70" s="92" t="s">
        <v>66</v>
      </c>
      <c r="AA70" s="48" t="s">
        <v>67</v>
      </c>
      <c r="AB70" s="52">
        <v>11</v>
      </c>
      <c r="AC70" s="105">
        <f t="shared" ref="AC70:AC101" si="11">IF(AA70=":",Q70+AB70,Q70+AA70+AB70)</f>
        <v>2284</v>
      </c>
      <c r="AD70" s="42" t="s">
        <v>66</v>
      </c>
      <c r="AE70" s="48" t="s">
        <v>67</v>
      </c>
      <c r="AF70" s="49" t="str">
        <f t="shared" ref="AF70:AF101" si="12">IF(AE70=":",AD70,AD70+AE70)</f>
        <v>..</v>
      </c>
      <c r="AG70" s="36"/>
      <c r="AH70" s="32"/>
      <c r="AI70" s="108"/>
      <c r="AJ70" s="28"/>
      <c r="AK70" s="25"/>
      <c r="AL70" s="29"/>
      <c r="AM70" s="21"/>
      <c r="AN70" s="19">
        <v>77</v>
      </c>
      <c r="AO70" s="19">
        <v>67</v>
      </c>
      <c r="AP70" s="106">
        <f t="shared" si="8"/>
        <v>144</v>
      </c>
      <c r="AQ70" s="19" t="s">
        <v>66</v>
      </c>
      <c r="AR70" s="19" t="s">
        <v>66</v>
      </c>
      <c r="AS70" s="112" t="s">
        <v>31</v>
      </c>
      <c r="AT70" s="112" t="s">
        <v>31</v>
      </c>
      <c r="AU70" s="19" t="s">
        <v>66</v>
      </c>
      <c r="AV70" s="19" t="s">
        <v>66</v>
      </c>
      <c r="AW70" s="19" t="s">
        <v>67</v>
      </c>
      <c r="AX70" s="19" t="s">
        <v>66</v>
      </c>
      <c r="AY70" s="22">
        <v>73</v>
      </c>
      <c r="AZ70" s="22" t="s">
        <v>67</v>
      </c>
      <c r="BA70" s="19" t="s">
        <v>67</v>
      </c>
      <c r="BB70" s="106">
        <f t="shared" ref="BB70:BB133" si="13">IF(BA70=":",AY70,AY70+BA70)</f>
        <v>73</v>
      </c>
      <c r="BC70" s="21"/>
      <c r="BD70" s="70" t="s">
        <v>66</v>
      </c>
      <c r="BE70" s="70" t="s">
        <v>66</v>
      </c>
      <c r="BF70" s="114" t="str">
        <f t="shared" ref="BF70:BF133" si="14">IF(BE70="..","..",BD70+BE70)</f>
        <v>..</v>
      </c>
      <c r="BG70" s="73"/>
      <c r="BH70" s="73"/>
      <c r="BI70" s="71" t="s">
        <v>66</v>
      </c>
      <c r="BJ70" s="71" t="s">
        <v>66</v>
      </c>
      <c r="BK70" s="71" t="s">
        <v>66</v>
      </c>
      <c r="BL70" s="116" t="s">
        <v>66</v>
      </c>
    </row>
    <row r="71" spans="1:64" s="13" customFormat="1" x14ac:dyDescent="0.2">
      <c r="A71" s="13" t="str">
        <f t="shared" si="9"/>
        <v>1984Q2</v>
      </c>
      <c r="B71" s="11">
        <f>B70</f>
        <v>1984</v>
      </c>
      <c r="C71" s="11" t="s">
        <v>2</v>
      </c>
      <c r="D71" s="43">
        <v>1303</v>
      </c>
      <c r="E71" s="43">
        <v>2166</v>
      </c>
      <c r="F71" s="87">
        <f t="shared" si="10"/>
        <v>3469</v>
      </c>
      <c r="G71" s="41">
        <v>845412</v>
      </c>
      <c r="H71" s="42" t="s">
        <v>66</v>
      </c>
      <c r="I71" s="92" t="s">
        <v>66</v>
      </c>
      <c r="J71" s="94" t="s">
        <v>31</v>
      </c>
      <c r="K71" s="94" t="s">
        <v>31</v>
      </c>
      <c r="L71" s="42" t="s">
        <v>66</v>
      </c>
      <c r="M71" s="42" t="s">
        <v>66</v>
      </c>
      <c r="N71" s="42" t="s">
        <v>67</v>
      </c>
      <c r="O71" s="42" t="s">
        <v>67</v>
      </c>
      <c r="P71" s="42" t="s">
        <v>66</v>
      </c>
      <c r="Q71" s="98">
        <v>2115</v>
      </c>
      <c r="R71" s="42" t="s">
        <v>67</v>
      </c>
      <c r="S71" s="42" t="s">
        <v>66</v>
      </c>
      <c r="T71" s="92" t="s">
        <v>66</v>
      </c>
      <c r="U71" s="42" t="s">
        <v>66</v>
      </c>
      <c r="V71" s="92" t="s">
        <v>66</v>
      </c>
      <c r="W71" s="42" t="s">
        <v>66</v>
      </c>
      <c r="X71" s="92" t="s">
        <v>66</v>
      </c>
      <c r="Y71" s="92" t="s">
        <v>66</v>
      </c>
      <c r="Z71" s="92" t="s">
        <v>66</v>
      </c>
      <c r="AA71" s="48" t="s">
        <v>67</v>
      </c>
      <c r="AB71" s="52">
        <v>8</v>
      </c>
      <c r="AC71" s="105">
        <f t="shared" si="11"/>
        <v>2123</v>
      </c>
      <c r="AD71" s="42" t="s">
        <v>66</v>
      </c>
      <c r="AE71" s="48" t="s">
        <v>67</v>
      </c>
      <c r="AF71" s="49" t="str">
        <f t="shared" si="12"/>
        <v>..</v>
      </c>
      <c r="AG71" s="36"/>
      <c r="AH71" s="32"/>
      <c r="AI71" s="108"/>
      <c r="AJ71" s="28"/>
      <c r="AK71" s="25"/>
      <c r="AL71" s="29"/>
      <c r="AM71" s="21"/>
      <c r="AN71" s="19">
        <v>65</v>
      </c>
      <c r="AO71" s="19">
        <v>81</v>
      </c>
      <c r="AP71" s="106">
        <f t="shared" si="8"/>
        <v>146</v>
      </c>
      <c r="AQ71" s="19" t="s">
        <v>66</v>
      </c>
      <c r="AR71" s="19" t="s">
        <v>66</v>
      </c>
      <c r="AS71" s="112" t="s">
        <v>31</v>
      </c>
      <c r="AT71" s="112" t="s">
        <v>31</v>
      </c>
      <c r="AU71" s="19" t="s">
        <v>66</v>
      </c>
      <c r="AV71" s="19" t="s">
        <v>66</v>
      </c>
      <c r="AW71" s="19" t="s">
        <v>67</v>
      </c>
      <c r="AX71" s="19" t="s">
        <v>66</v>
      </c>
      <c r="AY71" s="22">
        <v>77</v>
      </c>
      <c r="AZ71" s="22" t="s">
        <v>67</v>
      </c>
      <c r="BA71" s="19" t="s">
        <v>67</v>
      </c>
      <c r="BB71" s="106">
        <f t="shared" si="13"/>
        <v>77</v>
      </c>
      <c r="BC71" s="21"/>
      <c r="BD71" s="70" t="s">
        <v>66</v>
      </c>
      <c r="BE71" s="70" t="s">
        <v>66</v>
      </c>
      <c r="BF71" s="114" t="str">
        <f t="shared" si="14"/>
        <v>..</v>
      </c>
      <c r="BG71" s="73"/>
      <c r="BH71" s="73"/>
      <c r="BI71" s="71" t="s">
        <v>66</v>
      </c>
      <c r="BJ71" s="71" t="s">
        <v>66</v>
      </c>
      <c r="BK71" s="71" t="s">
        <v>66</v>
      </c>
      <c r="BL71" s="116" t="s">
        <v>66</v>
      </c>
    </row>
    <row r="72" spans="1:64" s="13" customFormat="1" x14ac:dyDescent="0.2">
      <c r="A72" s="13" t="str">
        <f t="shared" si="9"/>
        <v>1984Q3</v>
      </c>
      <c r="B72" s="11">
        <f>B71</f>
        <v>1984</v>
      </c>
      <c r="C72" s="11" t="s">
        <v>3</v>
      </c>
      <c r="D72" s="43">
        <v>749</v>
      </c>
      <c r="E72" s="43">
        <v>1972</v>
      </c>
      <c r="F72" s="87">
        <f t="shared" si="10"/>
        <v>2721</v>
      </c>
      <c r="G72" s="41">
        <v>865232</v>
      </c>
      <c r="H72" s="42" t="s">
        <v>66</v>
      </c>
      <c r="I72" s="92" t="s">
        <v>66</v>
      </c>
      <c r="J72" s="94" t="s">
        <v>31</v>
      </c>
      <c r="K72" s="94" t="s">
        <v>31</v>
      </c>
      <c r="L72" s="42" t="s">
        <v>66</v>
      </c>
      <c r="M72" s="42" t="s">
        <v>66</v>
      </c>
      <c r="N72" s="42" t="s">
        <v>67</v>
      </c>
      <c r="O72" s="42" t="s">
        <v>67</v>
      </c>
      <c r="P72" s="42" t="s">
        <v>66</v>
      </c>
      <c r="Q72" s="98">
        <v>1823</v>
      </c>
      <c r="R72" s="42" t="s">
        <v>67</v>
      </c>
      <c r="S72" s="42" t="s">
        <v>66</v>
      </c>
      <c r="T72" s="92" t="s">
        <v>66</v>
      </c>
      <c r="U72" s="42" t="s">
        <v>66</v>
      </c>
      <c r="V72" s="92" t="s">
        <v>66</v>
      </c>
      <c r="W72" s="42" t="s">
        <v>66</v>
      </c>
      <c r="X72" s="92" t="s">
        <v>66</v>
      </c>
      <c r="Y72" s="92" t="s">
        <v>66</v>
      </c>
      <c r="Z72" s="92" t="s">
        <v>66</v>
      </c>
      <c r="AA72" s="48" t="s">
        <v>67</v>
      </c>
      <c r="AB72" s="52">
        <v>15</v>
      </c>
      <c r="AC72" s="105">
        <f t="shared" si="11"/>
        <v>1838</v>
      </c>
      <c r="AD72" s="42" t="s">
        <v>66</v>
      </c>
      <c r="AE72" s="48" t="s">
        <v>67</v>
      </c>
      <c r="AF72" s="49" t="str">
        <f t="shared" si="12"/>
        <v>..</v>
      </c>
      <c r="AG72" s="36"/>
      <c r="AH72" s="32"/>
      <c r="AI72" s="108"/>
      <c r="AJ72" s="28"/>
      <c r="AK72" s="25"/>
      <c r="AL72" s="29"/>
      <c r="AM72" s="21"/>
      <c r="AN72" s="19">
        <v>48</v>
      </c>
      <c r="AO72" s="19">
        <v>41</v>
      </c>
      <c r="AP72" s="106">
        <f t="shared" si="8"/>
        <v>89</v>
      </c>
      <c r="AQ72" s="19" t="s">
        <v>66</v>
      </c>
      <c r="AR72" s="19" t="s">
        <v>66</v>
      </c>
      <c r="AS72" s="112" t="s">
        <v>31</v>
      </c>
      <c r="AT72" s="112" t="s">
        <v>31</v>
      </c>
      <c r="AU72" s="19" t="s">
        <v>66</v>
      </c>
      <c r="AV72" s="19" t="s">
        <v>66</v>
      </c>
      <c r="AW72" s="19" t="s">
        <v>67</v>
      </c>
      <c r="AX72" s="19" t="s">
        <v>66</v>
      </c>
      <c r="AY72" s="22">
        <v>68</v>
      </c>
      <c r="AZ72" s="22" t="s">
        <v>67</v>
      </c>
      <c r="BA72" s="19" t="s">
        <v>67</v>
      </c>
      <c r="BB72" s="106">
        <f t="shared" si="13"/>
        <v>68</v>
      </c>
      <c r="BC72" s="21"/>
      <c r="BD72" s="70" t="s">
        <v>66</v>
      </c>
      <c r="BE72" s="70" t="s">
        <v>66</v>
      </c>
      <c r="BF72" s="114" t="str">
        <f t="shared" si="14"/>
        <v>..</v>
      </c>
      <c r="BG72" s="73"/>
      <c r="BH72" s="73"/>
      <c r="BI72" s="71" t="s">
        <v>66</v>
      </c>
      <c r="BJ72" s="71" t="s">
        <v>66</v>
      </c>
      <c r="BK72" s="71" t="s">
        <v>66</v>
      </c>
      <c r="BL72" s="116" t="s">
        <v>66</v>
      </c>
    </row>
    <row r="73" spans="1:64" s="13" customFormat="1" x14ac:dyDescent="0.2">
      <c r="A73" s="13" t="str">
        <f t="shared" si="9"/>
        <v>1984Q4</v>
      </c>
      <c r="B73" s="11">
        <f>B72</f>
        <v>1984</v>
      </c>
      <c r="C73" s="11" t="s">
        <v>4</v>
      </c>
      <c r="D73" s="43">
        <v>1845</v>
      </c>
      <c r="E73" s="43">
        <v>2089</v>
      </c>
      <c r="F73" s="87">
        <f t="shared" si="10"/>
        <v>3934</v>
      </c>
      <c r="G73" s="41">
        <v>882988</v>
      </c>
      <c r="H73" s="42" t="s">
        <v>66</v>
      </c>
      <c r="I73" s="92" t="s">
        <v>66</v>
      </c>
      <c r="J73" s="95">
        <f t="shared" ref="J73:J104" si="15">SUM(F70:F73)/AVERAGE(G70:G73)*100</f>
        <v>1.6029561403816208</v>
      </c>
      <c r="K73" s="94" t="s">
        <v>31</v>
      </c>
      <c r="L73" s="42" t="s">
        <v>66</v>
      </c>
      <c r="M73" s="42" t="s">
        <v>66</v>
      </c>
      <c r="N73" s="42" t="s">
        <v>67</v>
      </c>
      <c r="O73" s="42" t="s">
        <v>67</v>
      </c>
      <c r="P73" s="42" t="s">
        <v>66</v>
      </c>
      <c r="Q73" s="98">
        <v>1967</v>
      </c>
      <c r="R73" s="42" t="s">
        <v>67</v>
      </c>
      <c r="S73" s="42" t="s">
        <v>66</v>
      </c>
      <c r="T73" s="92" t="s">
        <v>66</v>
      </c>
      <c r="U73" s="42" t="s">
        <v>66</v>
      </c>
      <c r="V73" s="92" t="s">
        <v>66</v>
      </c>
      <c r="W73" s="42" t="s">
        <v>66</v>
      </c>
      <c r="X73" s="92" t="s">
        <v>66</v>
      </c>
      <c r="Y73" s="92" t="s">
        <v>66</v>
      </c>
      <c r="Z73" s="92" t="s">
        <v>66</v>
      </c>
      <c r="AA73" s="48" t="s">
        <v>67</v>
      </c>
      <c r="AB73" s="52">
        <v>17</v>
      </c>
      <c r="AC73" s="105">
        <f t="shared" si="11"/>
        <v>1984</v>
      </c>
      <c r="AD73" s="42" t="s">
        <v>66</v>
      </c>
      <c r="AE73" s="48" t="s">
        <v>67</v>
      </c>
      <c r="AF73" s="49" t="str">
        <f t="shared" si="12"/>
        <v>..</v>
      </c>
      <c r="AG73" s="36"/>
      <c r="AH73" s="32"/>
      <c r="AI73" s="108"/>
      <c r="AJ73" s="28"/>
      <c r="AK73" s="25"/>
      <c r="AL73" s="29"/>
      <c r="AM73" s="21"/>
      <c r="AN73" s="19">
        <v>82</v>
      </c>
      <c r="AO73" s="19">
        <v>62</v>
      </c>
      <c r="AP73" s="106">
        <f t="shared" si="8"/>
        <v>144</v>
      </c>
      <c r="AQ73" s="19" t="s">
        <v>66</v>
      </c>
      <c r="AR73" s="19" t="s">
        <v>66</v>
      </c>
      <c r="AS73" s="112" t="s">
        <v>31</v>
      </c>
      <c r="AT73" s="112" t="s">
        <v>31</v>
      </c>
      <c r="AU73" s="19" t="s">
        <v>66</v>
      </c>
      <c r="AV73" s="19" t="s">
        <v>66</v>
      </c>
      <c r="AW73" s="19" t="s">
        <v>67</v>
      </c>
      <c r="AX73" s="19" t="s">
        <v>66</v>
      </c>
      <c r="AY73" s="22">
        <v>74</v>
      </c>
      <c r="AZ73" s="22" t="s">
        <v>67</v>
      </c>
      <c r="BA73" s="19" t="s">
        <v>67</v>
      </c>
      <c r="BB73" s="106">
        <f t="shared" si="13"/>
        <v>74</v>
      </c>
      <c r="BC73" s="21"/>
      <c r="BD73" s="70" t="s">
        <v>66</v>
      </c>
      <c r="BE73" s="70" t="s">
        <v>66</v>
      </c>
      <c r="BF73" s="114" t="str">
        <f t="shared" si="14"/>
        <v>..</v>
      </c>
      <c r="BG73" s="73"/>
      <c r="BH73" s="73"/>
      <c r="BI73" s="71" t="s">
        <v>66</v>
      </c>
      <c r="BJ73" s="71" t="s">
        <v>66</v>
      </c>
      <c r="BK73" s="71" t="s">
        <v>66</v>
      </c>
      <c r="BL73" s="116" t="s">
        <v>66</v>
      </c>
    </row>
    <row r="74" spans="1:64" s="13" customFormat="1" x14ac:dyDescent="0.2">
      <c r="A74" s="13" t="str">
        <f t="shared" si="9"/>
        <v>1985Q1</v>
      </c>
      <c r="B74" s="11">
        <v>1985</v>
      </c>
      <c r="C74" s="63" t="s">
        <v>1</v>
      </c>
      <c r="D74" s="43">
        <v>1439</v>
      </c>
      <c r="E74" s="43">
        <v>2232</v>
      </c>
      <c r="F74" s="87">
        <f t="shared" si="10"/>
        <v>3671</v>
      </c>
      <c r="G74" s="41">
        <v>852168</v>
      </c>
      <c r="H74" s="42" t="s">
        <v>66</v>
      </c>
      <c r="I74" s="92" t="s">
        <v>66</v>
      </c>
      <c r="J74" s="95">
        <f t="shared" si="15"/>
        <v>1.6013697835045564</v>
      </c>
      <c r="K74" s="94" t="s">
        <v>31</v>
      </c>
      <c r="L74" s="42" t="s">
        <v>66</v>
      </c>
      <c r="M74" s="42" t="s">
        <v>66</v>
      </c>
      <c r="N74" s="42" t="s">
        <v>67</v>
      </c>
      <c r="O74" s="42" t="s">
        <v>67</v>
      </c>
      <c r="P74" s="42" t="s">
        <v>66</v>
      </c>
      <c r="Q74" s="98">
        <v>1861</v>
      </c>
      <c r="R74" s="42" t="s">
        <v>67</v>
      </c>
      <c r="S74" s="42" t="s">
        <v>66</v>
      </c>
      <c r="T74" s="92" t="s">
        <v>66</v>
      </c>
      <c r="U74" s="42" t="s">
        <v>66</v>
      </c>
      <c r="V74" s="92" t="s">
        <v>66</v>
      </c>
      <c r="W74" s="42" t="s">
        <v>66</v>
      </c>
      <c r="X74" s="92" t="s">
        <v>66</v>
      </c>
      <c r="Y74" s="92" t="s">
        <v>66</v>
      </c>
      <c r="Z74" s="92" t="s">
        <v>66</v>
      </c>
      <c r="AA74" s="48" t="s">
        <v>67</v>
      </c>
      <c r="AB74" s="52">
        <v>14</v>
      </c>
      <c r="AC74" s="105">
        <f t="shared" si="11"/>
        <v>1875</v>
      </c>
      <c r="AD74" s="42" t="s">
        <v>66</v>
      </c>
      <c r="AE74" s="48" t="s">
        <v>67</v>
      </c>
      <c r="AF74" s="49" t="str">
        <f t="shared" si="12"/>
        <v>..</v>
      </c>
      <c r="AG74" s="36"/>
      <c r="AH74" s="32"/>
      <c r="AI74" s="108"/>
      <c r="AJ74" s="28"/>
      <c r="AK74" s="25"/>
      <c r="AL74" s="29"/>
      <c r="AM74" s="21"/>
      <c r="AN74" s="19">
        <v>68</v>
      </c>
      <c r="AO74" s="19">
        <v>68</v>
      </c>
      <c r="AP74" s="106">
        <f t="shared" si="8"/>
        <v>136</v>
      </c>
      <c r="AQ74" s="19" t="s">
        <v>66</v>
      </c>
      <c r="AR74" s="19" t="s">
        <v>66</v>
      </c>
      <c r="AS74" s="112" t="s">
        <v>31</v>
      </c>
      <c r="AT74" s="112" t="s">
        <v>31</v>
      </c>
      <c r="AU74" s="19" t="s">
        <v>66</v>
      </c>
      <c r="AV74" s="19" t="s">
        <v>66</v>
      </c>
      <c r="AW74" s="19" t="s">
        <v>67</v>
      </c>
      <c r="AX74" s="19" t="s">
        <v>66</v>
      </c>
      <c r="AY74" s="22">
        <v>76</v>
      </c>
      <c r="AZ74" s="22" t="s">
        <v>67</v>
      </c>
      <c r="BA74" s="19" t="s">
        <v>67</v>
      </c>
      <c r="BB74" s="106">
        <f t="shared" si="13"/>
        <v>76</v>
      </c>
      <c r="BC74" s="21"/>
      <c r="BD74" s="70" t="s">
        <v>66</v>
      </c>
      <c r="BE74" s="70" t="s">
        <v>66</v>
      </c>
      <c r="BF74" s="114" t="str">
        <f t="shared" si="14"/>
        <v>..</v>
      </c>
      <c r="BG74" s="73"/>
      <c r="BH74" s="73"/>
      <c r="BI74" s="71" t="s">
        <v>66</v>
      </c>
      <c r="BJ74" s="71" t="s">
        <v>66</v>
      </c>
      <c r="BK74" s="71" t="s">
        <v>66</v>
      </c>
      <c r="BL74" s="116" t="s">
        <v>66</v>
      </c>
    </row>
    <row r="75" spans="1:64" s="13" customFormat="1" x14ac:dyDescent="0.2">
      <c r="A75" s="13" t="str">
        <f t="shared" si="9"/>
        <v>1985Q2</v>
      </c>
      <c r="B75" s="11">
        <f>B74</f>
        <v>1985</v>
      </c>
      <c r="C75" s="11" t="s">
        <v>2</v>
      </c>
      <c r="D75" s="43">
        <v>1616</v>
      </c>
      <c r="E75" s="43">
        <v>2459</v>
      </c>
      <c r="F75" s="87">
        <f t="shared" si="10"/>
        <v>4075</v>
      </c>
      <c r="G75" s="41">
        <v>835621</v>
      </c>
      <c r="H75" s="42" t="s">
        <v>66</v>
      </c>
      <c r="I75" s="92" t="s">
        <v>66</v>
      </c>
      <c r="J75" s="95">
        <f t="shared" si="15"/>
        <v>1.6764798928058686</v>
      </c>
      <c r="K75" s="94" t="s">
        <v>31</v>
      </c>
      <c r="L75" s="42" t="s">
        <v>66</v>
      </c>
      <c r="M75" s="42" t="s">
        <v>66</v>
      </c>
      <c r="N75" s="42" t="s">
        <v>67</v>
      </c>
      <c r="O75" s="42" t="s">
        <v>67</v>
      </c>
      <c r="P75" s="42" t="s">
        <v>66</v>
      </c>
      <c r="Q75" s="98">
        <v>1586</v>
      </c>
      <c r="R75" s="42" t="s">
        <v>67</v>
      </c>
      <c r="S75" s="42" t="s">
        <v>66</v>
      </c>
      <c r="T75" s="92" t="s">
        <v>66</v>
      </c>
      <c r="U75" s="42" t="s">
        <v>66</v>
      </c>
      <c r="V75" s="92" t="s">
        <v>66</v>
      </c>
      <c r="W75" s="42" t="s">
        <v>66</v>
      </c>
      <c r="X75" s="92" t="s">
        <v>66</v>
      </c>
      <c r="Y75" s="92" t="s">
        <v>66</v>
      </c>
      <c r="Z75" s="92" t="s">
        <v>66</v>
      </c>
      <c r="AA75" s="48" t="s">
        <v>67</v>
      </c>
      <c r="AB75" s="52">
        <v>12</v>
      </c>
      <c r="AC75" s="105">
        <f t="shared" si="11"/>
        <v>1598</v>
      </c>
      <c r="AD75" s="42" t="s">
        <v>66</v>
      </c>
      <c r="AE75" s="48" t="s">
        <v>67</v>
      </c>
      <c r="AF75" s="49" t="str">
        <f t="shared" si="12"/>
        <v>..</v>
      </c>
      <c r="AG75" s="36"/>
      <c r="AH75" s="32"/>
      <c r="AI75" s="108"/>
      <c r="AJ75" s="28"/>
      <c r="AK75" s="25"/>
      <c r="AL75" s="29"/>
      <c r="AM75" s="21"/>
      <c r="AN75" s="19">
        <v>61</v>
      </c>
      <c r="AO75" s="19">
        <v>59</v>
      </c>
      <c r="AP75" s="106">
        <f t="shared" si="8"/>
        <v>120</v>
      </c>
      <c r="AQ75" s="19" t="s">
        <v>66</v>
      </c>
      <c r="AR75" s="19" t="s">
        <v>66</v>
      </c>
      <c r="AS75" s="112" t="s">
        <v>31</v>
      </c>
      <c r="AT75" s="112" t="s">
        <v>31</v>
      </c>
      <c r="AU75" s="19" t="s">
        <v>66</v>
      </c>
      <c r="AV75" s="19" t="s">
        <v>66</v>
      </c>
      <c r="AW75" s="19" t="s">
        <v>67</v>
      </c>
      <c r="AX75" s="19" t="s">
        <v>66</v>
      </c>
      <c r="AY75" s="22">
        <v>74</v>
      </c>
      <c r="AZ75" s="22" t="s">
        <v>67</v>
      </c>
      <c r="BA75" s="19" t="s">
        <v>67</v>
      </c>
      <c r="BB75" s="106">
        <f t="shared" si="13"/>
        <v>74</v>
      </c>
      <c r="BC75" s="21"/>
      <c r="BD75" s="70" t="s">
        <v>66</v>
      </c>
      <c r="BE75" s="70" t="s">
        <v>66</v>
      </c>
      <c r="BF75" s="114" t="str">
        <f t="shared" si="14"/>
        <v>..</v>
      </c>
      <c r="BG75" s="73"/>
      <c r="BH75" s="73"/>
      <c r="BI75" s="71" t="s">
        <v>66</v>
      </c>
      <c r="BJ75" s="71" t="s">
        <v>66</v>
      </c>
      <c r="BK75" s="71" t="s">
        <v>66</v>
      </c>
      <c r="BL75" s="116" t="s">
        <v>66</v>
      </c>
    </row>
    <row r="76" spans="1:64" s="13" customFormat="1" x14ac:dyDescent="0.2">
      <c r="A76" s="13" t="str">
        <f t="shared" si="9"/>
        <v>1985Q3</v>
      </c>
      <c r="B76" s="11">
        <f>B75</f>
        <v>1985</v>
      </c>
      <c r="C76" s="11" t="s">
        <v>3</v>
      </c>
      <c r="D76" s="43">
        <v>709</v>
      </c>
      <c r="E76" s="43">
        <v>2278</v>
      </c>
      <c r="F76" s="87">
        <f t="shared" si="10"/>
        <v>2987</v>
      </c>
      <c r="G76" s="41">
        <v>823821</v>
      </c>
      <c r="H76" s="42" t="s">
        <v>66</v>
      </c>
      <c r="I76" s="92" t="s">
        <v>66</v>
      </c>
      <c r="J76" s="95">
        <f t="shared" si="15"/>
        <v>1.7282753362842966</v>
      </c>
      <c r="K76" s="94" t="s">
        <v>31</v>
      </c>
      <c r="L76" s="42" t="s">
        <v>66</v>
      </c>
      <c r="M76" s="42" t="s">
        <v>66</v>
      </c>
      <c r="N76" s="42" t="s">
        <v>67</v>
      </c>
      <c r="O76" s="42" t="s">
        <v>67</v>
      </c>
      <c r="P76" s="42" t="s">
        <v>66</v>
      </c>
      <c r="Q76" s="98">
        <v>1534</v>
      </c>
      <c r="R76" s="42" t="s">
        <v>67</v>
      </c>
      <c r="S76" s="42" t="s">
        <v>66</v>
      </c>
      <c r="T76" s="92" t="s">
        <v>66</v>
      </c>
      <c r="U76" s="42" t="s">
        <v>66</v>
      </c>
      <c r="V76" s="92" t="s">
        <v>66</v>
      </c>
      <c r="W76" s="42" t="s">
        <v>66</v>
      </c>
      <c r="X76" s="92" t="s">
        <v>66</v>
      </c>
      <c r="Y76" s="92" t="s">
        <v>66</v>
      </c>
      <c r="Z76" s="92" t="s">
        <v>66</v>
      </c>
      <c r="AA76" s="48" t="s">
        <v>67</v>
      </c>
      <c r="AB76" s="52">
        <v>8</v>
      </c>
      <c r="AC76" s="105">
        <f t="shared" si="11"/>
        <v>1542</v>
      </c>
      <c r="AD76" s="42" t="s">
        <v>66</v>
      </c>
      <c r="AE76" s="48" t="s">
        <v>67</v>
      </c>
      <c r="AF76" s="49" t="str">
        <f t="shared" si="12"/>
        <v>..</v>
      </c>
      <c r="AG76" s="36"/>
      <c r="AH76" s="32"/>
      <c r="AI76" s="108"/>
      <c r="AJ76" s="28"/>
      <c r="AK76" s="25"/>
      <c r="AL76" s="29"/>
      <c r="AM76" s="21"/>
      <c r="AN76" s="19">
        <v>89</v>
      </c>
      <c r="AO76" s="19">
        <v>58</v>
      </c>
      <c r="AP76" s="106">
        <f t="shared" si="8"/>
        <v>147</v>
      </c>
      <c r="AQ76" s="19" t="s">
        <v>66</v>
      </c>
      <c r="AR76" s="19" t="s">
        <v>66</v>
      </c>
      <c r="AS76" s="112" t="s">
        <v>31</v>
      </c>
      <c r="AT76" s="112" t="s">
        <v>31</v>
      </c>
      <c r="AU76" s="19" t="s">
        <v>66</v>
      </c>
      <c r="AV76" s="19" t="s">
        <v>66</v>
      </c>
      <c r="AW76" s="19" t="s">
        <v>67</v>
      </c>
      <c r="AX76" s="19" t="s">
        <v>66</v>
      </c>
      <c r="AY76" s="22">
        <v>82</v>
      </c>
      <c r="AZ76" s="22" t="s">
        <v>67</v>
      </c>
      <c r="BA76" s="19" t="s">
        <v>67</v>
      </c>
      <c r="BB76" s="106">
        <f t="shared" si="13"/>
        <v>82</v>
      </c>
      <c r="BC76" s="21"/>
      <c r="BD76" s="70" t="s">
        <v>66</v>
      </c>
      <c r="BE76" s="70" t="s">
        <v>66</v>
      </c>
      <c r="BF76" s="114" t="str">
        <f t="shared" si="14"/>
        <v>..</v>
      </c>
      <c r="BG76" s="73"/>
      <c r="BH76" s="73"/>
      <c r="BI76" s="71" t="s">
        <v>66</v>
      </c>
      <c r="BJ76" s="71" t="s">
        <v>66</v>
      </c>
      <c r="BK76" s="71" t="s">
        <v>66</v>
      </c>
      <c r="BL76" s="116" t="s">
        <v>66</v>
      </c>
    </row>
    <row r="77" spans="1:64" s="13" customFormat="1" x14ac:dyDescent="0.2">
      <c r="A77" s="13" t="str">
        <f t="shared" si="9"/>
        <v>1985Q4</v>
      </c>
      <c r="B77" s="11">
        <f>B76</f>
        <v>1985</v>
      </c>
      <c r="C77" s="11" t="s">
        <v>4</v>
      </c>
      <c r="D77" s="43">
        <v>1997</v>
      </c>
      <c r="E77" s="43">
        <v>2168</v>
      </c>
      <c r="F77" s="87">
        <f t="shared" si="10"/>
        <v>4165</v>
      </c>
      <c r="G77" s="41">
        <v>839779</v>
      </c>
      <c r="H77" s="42" t="s">
        <v>66</v>
      </c>
      <c r="I77" s="92" t="s">
        <v>66</v>
      </c>
      <c r="J77" s="95">
        <f t="shared" si="15"/>
        <v>1.7781284118316316</v>
      </c>
      <c r="K77" s="94" t="s">
        <v>31</v>
      </c>
      <c r="L77" s="42" t="s">
        <v>66</v>
      </c>
      <c r="M77" s="42" t="s">
        <v>66</v>
      </c>
      <c r="N77" s="42" t="s">
        <v>67</v>
      </c>
      <c r="O77" s="42" t="s">
        <v>67</v>
      </c>
      <c r="P77" s="42" t="s">
        <v>66</v>
      </c>
      <c r="Q77" s="98">
        <v>1747</v>
      </c>
      <c r="R77" s="42" t="s">
        <v>67</v>
      </c>
      <c r="S77" s="42" t="s">
        <v>66</v>
      </c>
      <c r="T77" s="92" t="s">
        <v>66</v>
      </c>
      <c r="U77" s="42" t="s">
        <v>66</v>
      </c>
      <c r="V77" s="92" t="s">
        <v>66</v>
      </c>
      <c r="W77" s="42" t="s">
        <v>66</v>
      </c>
      <c r="X77" s="92" t="s">
        <v>66</v>
      </c>
      <c r="Y77" s="92" t="s">
        <v>66</v>
      </c>
      <c r="Z77" s="92" t="s">
        <v>66</v>
      </c>
      <c r="AA77" s="48" t="s">
        <v>67</v>
      </c>
      <c r="AB77" s="52">
        <v>14</v>
      </c>
      <c r="AC77" s="105">
        <f t="shared" si="11"/>
        <v>1761</v>
      </c>
      <c r="AD77" s="42" t="s">
        <v>66</v>
      </c>
      <c r="AE77" s="48" t="s">
        <v>67</v>
      </c>
      <c r="AF77" s="49" t="str">
        <f t="shared" si="12"/>
        <v>..</v>
      </c>
      <c r="AG77" s="36"/>
      <c r="AH77" s="32"/>
      <c r="AI77" s="108"/>
      <c r="AJ77" s="28"/>
      <c r="AK77" s="25"/>
      <c r="AL77" s="29"/>
      <c r="AM77" s="21"/>
      <c r="AN77" s="19">
        <v>88</v>
      </c>
      <c r="AO77" s="19">
        <v>46</v>
      </c>
      <c r="AP77" s="106">
        <f t="shared" si="8"/>
        <v>134</v>
      </c>
      <c r="AQ77" s="19" t="s">
        <v>66</v>
      </c>
      <c r="AR77" s="19" t="s">
        <v>66</v>
      </c>
      <c r="AS77" s="112" t="s">
        <v>31</v>
      </c>
      <c r="AT77" s="112" t="s">
        <v>31</v>
      </c>
      <c r="AU77" s="19" t="s">
        <v>66</v>
      </c>
      <c r="AV77" s="19" t="s">
        <v>66</v>
      </c>
      <c r="AW77" s="19" t="s">
        <v>67</v>
      </c>
      <c r="AX77" s="19" t="s">
        <v>66</v>
      </c>
      <c r="AY77" s="22">
        <v>66</v>
      </c>
      <c r="AZ77" s="22" t="s">
        <v>67</v>
      </c>
      <c r="BA77" s="19" t="s">
        <v>67</v>
      </c>
      <c r="BB77" s="106">
        <f t="shared" si="13"/>
        <v>66</v>
      </c>
      <c r="BC77" s="21"/>
      <c r="BD77" s="70" t="s">
        <v>66</v>
      </c>
      <c r="BE77" s="70" t="s">
        <v>66</v>
      </c>
      <c r="BF77" s="114" t="str">
        <f t="shared" si="14"/>
        <v>..</v>
      </c>
      <c r="BG77" s="73"/>
      <c r="BH77" s="73"/>
      <c r="BI77" s="71" t="s">
        <v>66</v>
      </c>
      <c r="BJ77" s="71" t="s">
        <v>66</v>
      </c>
      <c r="BK77" s="71" t="s">
        <v>66</v>
      </c>
      <c r="BL77" s="116" t="s">
        <v>66</v>
      </c>
    </row>
    <row r="78" spans="1:64" s="13" customFormat="1" x14ac:dyDescent="0.2">
      <c r="A78" s="13" t="str">
        <f t="shared" si="9"/>
        <v>1986Q1</v>
      </c>
      <c r="B78" s="11">
        <v>1986</v>
      </c>
      <c r="C78" s="63" t="s">
        <v>1</v>
      </c>
      <c r="D78" s="43">
        <v>1421</v>
      </c>
      <c r="E78" s="43">
        <v>2099</v>
      </c>
      <c r="F78" s="87">
        <f t="shared" si="10"/>
        <v>3520</v>
      </c>
      <c r="G78" s="41">
        <v>798964</v>
      </c>
      <c r="H78" s="41">
        <v>988272</v>
      </c>
      <c r="I78" s="93">
        <f t="shared" ref="I78:I141" si="16">H78-G78</f>
        <v>189308</v>
      </c>
      <c r="J78" s="95">
        <f t="shared" si="15"/>
        <v>1.7884988258693797</v>
      </c>
      <c r="K78" s="94" t="s">
        <v>31</v>
      </c>
      <c r="L78" s="42" t="s">
        <v>66</v>
      </c>
      <c r="M78" s="42" t="s">
        <v>66</v>
      </c>
      <c r="N78" s="42" t="s">
        <v>67</v>
      </c>
      <c r="O78" s="42" t="s">
        <v>67</v>
      </c>
      <c r="P78" s="42" t="s">
        <v>66</v>
      </c>
      <c r="Q78" s="98">
        <v>1831</v>
      </c>
      <c r="R78" s="42" t="s">
        <v>67</v>
      </c>
      <c r="S78" s="42" t="s">
        <v>66</v>
      </c>
      <c r="T78" s="92" t="s">
        <v>66</v>
      </c>
      <c r="U78" s="42" t="s">
        <v>66</v>
      </c>
      <c r="V78" s="92" t="s">
        <v>66</v>
      </c>
      <c r="W78" s="42" t="s">
        <v>66</v>
      </c>
      <c r="X78" s="92" t="s">
        <v>66</v>
      </c>
      <c r="Y78" s="92" t="s">
        <v>66</v>
      </c>
      <c r="Z78" s="92" t="s">
        <v>66</v>
      </c>
      <c r="AA78" s="48" t="s">
        <v>67</v>
      </c>
      <c r="AB78" s="52">
        <v>9</v>
      </c>
      <c r="AC78" s="105">
        <f t="shared" si="11"/>
        <v>1840</v>
      </c>
      <c r="AD78" s="42" t="s">
        <v>66</v>
      </c>
      <c r="AE78" s="48" t="s">
        <v>67</v>
      </c>
      <c r="AF78" s="49" t="str">
        <f t="shared" si="12"/>
        <v>..</v>
      </c>
      <c r="AG78" s="36"/>
      <c r="AH78" s="32"/>
      <c r="AI78" s="108"/>
      <c r="AJ78" s="28"/>
      <c r="AK78" s="25"/>
      <c r="AL78" s="29"/>
      <c r="AM78" s="21"/>
      <c r="AN78" s="19">
        <v>87</v>
      </c>
      <c r="AO78" s="19">
        <v>48</v>
      </c>
      <c r="AP78" s="106">
        <f t="shared" si="8"/>
        <v>135</v>
      </c>
      <c r="AQ78" s="19" t="s">
        <v>66</v>
      </c>
      <c r="AR78" s="19" t="s">
        <v>66</v>
      </c>
      <c r="AS78" s="112" t="s">
        <v>31</v>
      </c>
      <c r="AT78" s="112" t="s">
        <v>31</v>
      </c>
      <c r="AU78" s="19" t="s">
        <v>66</v>
      </c>
      <c r="AV78" s="19" t="s">
        <v>66</v>
      </c>
      <c r="AW78" s="19" t="s">
        <v>67</v>
      </c>
      <c r="AX78" s="19" t="s">
        <v>66</v>
      </c>
      <c r="AY78" s="22">
        <v>90</v>
      </c>
      <c r="AZ78" s="22" t="s">
        <v>67</v>
      </c>
      <c r="BA78" s="19" t="s">
        <v>67</v>
      </c>
      <c r="BB78" s="106">
        <f t="shared" si="13"/>
        <v>90</v>
      </c>
      <c r="BC78" s="21"/>
      <c r="BD78" s="70" t="s">
        <v>66</v>
      </c>
      <c r="BE78" s="70" t="s">
        <v>66</v>
      </c>
      <c r="BF78" s="114" t="str">
        <f t="shared" si="14"/>
        <v>..</v>
      </c>
      <c r="BG78" s="73"/>
      <c r="BH78" s="73"/>
      <c r="BI78" s="71" t="s">
        <v>66</v>
      </c>
      <c r="BJ78" s="71" t="s">
        <v>66</v>
      </c>
      <c r="BK78" s="71" t="s">
        <v>66</v>
      </c>
      <c r="BL78" s="116" t="s">
        <v>66</v>
      </c>
    </row>
    <row r="79" spans="1:64" s="13" customFormat="1" x14ac:dyDescent="0.2">
      <c r="A79" s="13" t="str">
        <f t="shared" si="9"/>
        <v>1986Q2</v>
      </c>
      <c r="B79" s="11">
        <f>B78</f>
        <v>1986</v>
      </c>
      <c r="C79" s="11" t="s">
        <v>2</v>
      </c>
      <c r="D79" s="43">
        <v>1432</v>
      </c>
      <c r="E79" s="43">
        <v>2505</v>
      </c>
      <c r="F79" s="87">
        <f t="shared" si="10"/>
        <v>3937</v>
      </c>
      <c r="G79" s="41">
        <v>781570</v>
      </c>
      <c r="H79" s="41">
        <v>986601</v>
      </c>
      <c r="I79" s="93">
        <f t="shared" si="16"/>
        <v>205031</v>
      </c>
      <c r="J79" s="95">
        <f t="shared" si="15"/>
        <v>1.8012819445805879</v>
      </c>
      <c r="K79" s="94" t="s">
        <v>31</v>
      </c>
      <c r="L79" s="42" t="s">
        <v>66</v>
      </c>
      <c r="M79" s="42" t="s">
        <v>66</v>
      </c>
      <c r="N79" s="42" t="s">
        <v>67</v>
      </c>
      <c r="O79" s="42" t="s">
        <v>67</v>
      </c>
      <c r="P79" s="42" t="s">
        <v>66</v>
      </c>
      <c r="Q79" s="98">
        <v>1908</v>
      </c>
      <c r="R79" s="42" t="s">
        <v>67</v>
      </c>
      <c r="S79" s="42" t="s">
        <v>66</v>
      </c>
      <c r="T79" s="92" t="s">
        <v>66</v>
      </c>
      <c r="U79" s="42" t="s">
        <v>66</v>
      </c>
      <c r="V79" s="92" t="s">
        <v>66</v>
      </c>
      <c r="W79" s="42" t="s">
        <v>66</v>
      </c>
      <c r="X79" s="92" t="s">
        <v>66</v>
      </c>
      <c r="Y79" s="92" t="s">
        <v>66</v>
      </c>
      <c r="Z79" s="92" t="s">
        <v>66</v>
      </c>
      <c r="AA79" s="48" t="s">
        <v>67</v>
      </c>
      <c r="AB79" s="52">
        <v>15</v>
      </c>
      <c r="AC79" s="105">
        <f t="shared" si="11"/>
        <v>1923</v>
      </c>
      <c r="AD79" s="42" t="s">
        <v>66</v>
      </c>
      <c r="AE79" s="48" t="s">
        <v>67</v>
      </c>
      <c r="AF79" s="49" t="str">
        <f t="shared" si="12"/>
        <v>..</v>
      </c>
      <c r="AG79" s="36"/>
      <c r="AH79" s="32"/>
      <c r="AI79" s="108"/>
      <c r="AJ79" s="28"/>
      <c r="AK79" s="25"/>
      <c r="AL79" s="29"/>
      <c r="AM79" s="21"/>
      <c r="AN79" s="19">
        <v>91</v>
      </c>
      <c r="AO79" s="19">
        <v>53</v>
      </c>
      <c r="AP79" s="106">
        <f t="shared" si="8"/>
        <v>144</v>
      </c>
      <c r="AQ79" s="19" t="s">
        <v>66</v>
      </c>
      <c r="AR79" s="19" t="s">
        <v>66</v>
      </c>
      <c r="AS79" s="112" t="s">
        <v>31</v>
      </c>
      <c r="AT79" s="112" t="s">
        <v>31</v>
      </c>
      <c r="AU79" s="19" t="s">
        <v>66</v>
      </c>
      <c r="AV79" s="19" t="s">
        <v>66</v>
      </c>
      <c r="AW79" s="19" t="s">
        <v>67</v>
      </c>
      <c r="AX79" s="19" t="s">
        <v>66</v>
      </c>
      <c r="AY79" s="22">
        <v>73</v>
      </c>
      <c r="AZ79" s="22" t="s">
        <v>67</v>
      </c>
      <c r="BA79" s="19" t="s">
        <v>67</v>
      </c>
      <c r="BB79" s="106">
        <f t="shared" si="13"/>
        <v>73</v>
      </c>
      <c r="BC79" s="21"/>
      <c r="BD79" s="70" t="s">
        <v>66</v>
      </c>
      <c r="BE79" s="70" t="s">
        <v>66</v>
      </c>
      <c r="BF79" s="114" t="str">
        <f t="shared" si="14"/>
        <v>..</v>
      </c>
      <c r="BG79" s="73"/>
      <c r="BH79" s="73"/>
      <c r="BI79" s="71" t="s">
        <v>66</v>
      </c>
      <c r="BJ79" s="71" t="s">
        <v>66</v>
      </c>
      <c r="BK79" s="71" t="s">
        <v>66</v>
      </c>
      <c r="BL79" s="116" t="s">
        <v>66</v>
      </c>
    </row>
    <row r="80" spans="1:64" s="13" customFormat="1" x14ac:dyDescent="0.2">
      <c r="A80" s="13" t="str">
        <f t="shared" si="9"/>
        <v>1986Q3</v>
      </c>
      <c r="B80" s="11">
        <f>B79</f>
        <v>1986</v>
      </c>
      <c r="C80" s="11" t="s">
        <v>3</v>
      </c>
      <c r="D80" s="43">
        <v>608</v>
      </c>
      <c r="E80" s="43">
        <v>2428</v>
      </c>
      <c r="F80" s="87">
        <f t="shared" si="10"/>
        <v>3036</v>
      </c>
      <c r="G80" s="41">
        <v>791457</v>
      </c>
      <c r="H80" s="41">
        <v>998239</v>
      </c>
      <c r="I80" s="93">
        <f t="shared" si="16"/>
        <v>206782</v>
      </c>
      <c r="J80" s="95">
        <f t="shared" si="15"/>
        <v>1.8255354524140894</v>
      </c>
      <c r="K80" s="94" t="s">
        <v>31</v>
      </c>
      <c r="L80" s="42" t="s">
        <v>66</v>
      </c>
      <c r="M80" s="42" t="s">
        <v>66</v>
      </c>
      <c r="N80" s="42" t="s">
        <v>67</v>
      </c>
      <c r="O80" s="42" t="s">
        <v>67</v>
      </c>
      <c r="P80" s="42" t="s">
        <v>66</v>
      </c>
      <c r="Q80" s="98">
        <v>1593</v>
      </c>
      <c r="R80" s="42" t="s">
        <v>67</v>
      </c>
      <c r="S80" s="42" t="s">
        <v>66</v>
      </c>
      <c r="T80" s="92" t="s">
        <v>66</v>
      </c>
      <c r="U80" s="42" t="s">
        <v>66</v>
      </c>
      <c r="V80" s="92" t="s">
        <v>66</v>
      </c>
      <c r="W80" s="42" t="s">
        <v>66</v>
      </c>
      <c r="X80" s="92" t="s">
        <v>66</v>
      </c>
      <c r="Y80" s="92" t="s">
        <v>66</v>
      </c>
      <c r="Z80" s="92" t="s">
        <v>66</v>
      </c>
      <c r="AA80" s="48" t="s">
        <v>67</v>
      </c>
      <c r="AB80" s="52">
        <v>22</v>
      </c>
      <c r="AC80" s="105">
        <f t="shared" si="11"/>
        <v>1615</v>
      </c>
      <c r="AD80" s="42" t="s">
        <v>66</v>
      </c>
      <c r="AE80" s="48" t="s">
        <v>67</v>
      </c>
      <c r="AF80" s="49" t="str">
        <f t="shared" si="12"/>
        <v>..</v>
      </c>
      <c r="AG80" s="36"/>
      <c r="AH80" s="32"/>
      <c r="AI80" s="108"/>
      <c r="AJ80" s="28"/>
      <c r="AK80" s="25"/>
      <c r="AL80" s="29"/>
      <c r="AM80" s="21"/>
      <c r="AN80" s="19">
        <v>59</v>
      </c>
      <c r="AO80" s="19">
        <v>48</v>
      </c>
      <c r="AP80" s="106">
        <f t="shared" si="8"/>
        <v>107</v>
      </c>
      <c r="AQ80" s="19" t="s">
        <v>66</v>
      </c>
      <c r="AR80" s="19" t="s">
        <v>66</v>
      </c>
      <c r="AS80" s="112" t="s">
        <v>31</v>
      </c>
      <c r="AT80" s="112" t="s">
        <v>31</v>
      </c>
      <c r="AU80" s="19" t="s">
        <v>66</v>
      </c>
      <c r="AV80" s="19" t="s">
        <v>66</v>
      </c>
      <c r="AW80" s="19" t="s">
        <v>67</v>
      </c>
      <c r="AX80" s="19" t="s">
        <v>66</v>
      </c>
      <c r="AY80" s="22">
        <v>114</v>
      </c>
      <c r="AZ80" s="22" t="s">
        <v>67</v>
      </c>
      <c r="BA80" s="19" t="s">
        <v>67</v>
      </c>
      <c r="BB80" s="106">
        <f t="shared" si="13"/>
        <v>114</v>
      </c>
      <c r="BC80" s="21"/>
      <c r="BD80" s="70" t="s">
        <v>66</v>
      </c>
      <c r="BE80" s="70" t="s">
        <v>66</v>
      </c>
      <c r="BF80" s="114" t="str">
        <f t="shared" si="14"/>
        <v>..</v>
      </c>
      <c r="BG80" s="73"/>
      <c r="BH80" s="73"/>
      <c r="BI80" s="71" t="s">
        <v>66</v>
      </c>
      <c r="BJ80" s="71" t="s">
        <v>66</v>
      </c>
      <c r="BK80" s="71" t="s">
        <v>66</v>
      </c>
      <c r="BL80" s="116" t="s">
        <v>66</v>
      </c>
    </row>
    <row r="81" spans="1:64" s="13" customFormat="1" x14ac:dyDescent="0.2">
      <c r="A81" s="13" t="str">
        <f t="shared" si="9"/>
        <v>1986Q4</v>
      </c>
      <c r="B81" s="11">
        <f>B80</f>
        <v>1986</v>
      </c>
      <c r="C81" s="11" t="s">
        <v>4</v>
      </c>
      <c r="D81" s="43">
        <v>1743</v>
      </c>
      <c r="E81" s="43">
        <v>2169</v>
      </c>
      <c r="F81" s="87">
        <f t="shared" si="10"/>
        <v>3912</v>
      </c>
      <c r="G81" s="41">
        <v>815417</v>
      </c>
      <c r="H81" s="41">
        <v>1008994</v>
      </c>
      <c r="I81" s="93">
        <f t="shared" si="16"/>
        <v>193577</v>
      </c>
      <c r="J81" s="95">
        <f t="shared" si="15"/>
        <v>1.8077384508039134</v>
      </c>
      <c r="K81" s="95">
        <f t="shared" ref="K81:K112" si="17">SUM(F78:F81)/AVERAGE(H78:H81)*100</f>
        <v>1.4469730338670039</v>
      </c>
      <c r="L81" s="42" t="s">
        <v>66</v>
      </c>
      <c r="M81" s="42" t="s">
        <v>66</v>
      </c>
      <c r="N81" s="42" t="s">
        <v>67</v>
      </c>
      <c r="O81" s="42" t="s">
        <v>67</v>
      </c>
      <c r="P81" s="42" t="s">
        <v>66</v>
      </c>
      <c r="Q81" s="98">
        <v>1761</v>
      </c>
      <c r="R81" s="42" t="s">
        <v>67</v>
      </c>
      <c r="S81" s="42" t="s">
        <v>66</v>
      </c>
      <c r="T81" s="92" t="s">
        <v>66</v>
      </c>
      <c r="U81" s="42" t="s">
        <v>66</v>
      </c>
      <c r="V81" s="92" t="s">
        <v>66</v>
      </c>
      <c r="W81" s="42" t="s">
        <v>66</v>
      </c>
      <c r="X81" s="92" t="s">
        <v>66</v>
      </c>
      <c r="Y81" s="92" t="s">
        <v>66</v>
      </c>
      <c r="Z81" s="92" t="s">
        <v>66</v>
      </c>
      <c r="AA81" s="48" t="s">
        <v>67</v>
      </c>
      <c r="AB81" s="52">
        <v>16</v>
      </c>
      <c r="AC81" s="105">
        <f t="shared" si="11"/>
        <v>1777</v>
      </c>
      <c r="AD81" s="42" t="s">
        <v>66</v>
      </c>
      <c r="AE81" s="48" t="s">
        <v>67</v>
      </c>
      <c r="AF81" s="49" t="str">
        <f t="shared" si="12"/>
        <v>..</v>
      </c>
      <c r="AG81" s="36"/>
      <c r="AH81" s="32"/>
      <c r="AI81" s="108"/>
      <c r="AJ81" s="28"/>
      <c r="AK81" s="25"/>
      <c r="AL81" s="29"/>
      <c r="AM81" s="21"/>
      <c r="AN81" s="19">
        <v>62</v>
      </c>
      <c r="AO81" s="19">
        <v>63</v>
      </c>
      <c r="AP81" s="106">
        <f t="shared" si="8"/>
        <v>125</v>
      </c>
      <c r="AQ81" s="19" t="s">
        <v>66</v>
      </c>
      <c r="AR81" s="19" t="s">
        <v>66</v>
      </c>
      <c r="AS81" s="112" t="s">
        <v>31</v>
      </c>
      <c r="AT81" s="112" t="s">
        <v>31</v>
      </c>
      <c r="AU81" s="19" t="s">
        <v>66</v>
      </c>
      <c r="AV81" s="19" t="s">
        <v>66</v>
      </c>
      <c r="AW81" s="19" t="s">
        <v>67</v>
      </c>
      <c r="AX81" s="19" t="s">
        <v>66</v>
      </c>
      <c r="AY81" s="22">
        <v>160</v>
      </c>
      <c r="AZ81" s="22" t="s">
        <v>67</v>
      </c>
      <c r="BA81" s="19" t="s">
        <v>67</v>
      </c>
      <c r="BB81" s="106">
        <f t="shared" si="13"/>
        <v>160</v>
      </c>
      <c r="BC81" s="21"/>
      <c r="BD81" s="70" t="s">
        <v>66</v>
      </c>
      <c r="BE81" s="70" t="s">
        <v>66</v>
      </c>
      <c r="BF81" s="114" t="str">
        <f t="shared" si="14"/>
        <v>..</v>
      </c>
      <c r="BG81" s="73"/>
      <c r="BH81" s="73"/>
      <c r="BI81" s="71" t="s">
        <v>66</v>
      </c>
      <c r="BJ81" s="71" t="s">
        <v>66</v>
      </c>
      <c r="BK81" s="71" t="s">
        <v>66</v>
      </c>
      <c r="BL81" s="116" t="s">
        <v>66</v>
      </c>
    </row>
    <row r="82" spans="1:64" s="13" customFormat="1" x14ac:dyDescent="0.2">
      <c r="A82" s="13" t="str">
        <f t="shared" si="9"/>
        <v>1987Q1</v>
      </c>
      <c r="B82" s="11">
        <v>1987</v>
      </c>
      <c r="C82" s="63" t="s">
        <v>1</v>
      </c>
      <c r="D82" s="43">
        <v>1131</v>
      </c>
      <c r="E82" s="43">
        <v>2096</v>
      </c>
      <c r="F82" s="87">
        <f t="shared" si="10"/>
        <v>3227</v>
      </c>
      <c r="G82" s="41">
        <v>822850</v>
      </c>
      <c r="H82" s="41">
        <v>1018132</v>
      </c>
      <c r="I82" s="93">
        <f t="shared" si="16"/>
        <v>195282</v>
      </c>
      <c r="J82" s="95">
        <f t="shared" si="15"/>
        <v>1.7577960784655657</v>
      </c>
      <c r="K82" s="95">
        <f t="shared" si="17"/>
        <v>1.4069909864639929</v>
      </c>
      <c r="L82" s="42" t="s">
        <v>66</v>
      </c>
      <c r="M82" s="42" t="s">
        <v>66</v>
      </c>
      <c r="N82" s="42" t="s">
        <v>67</v>
      </c>
      <c r="O82" s="42" t="s">
        <v>67</v>
      </c>
      <c r="P82" s="42" t="s">
        <v>66</v>
      </c>
      <c r="Q82" s="98">
        <v>1721</v>
      </c>
      <c r="R82" s="42" t="s">
        <v>67</v>
      </c>
      <c r="S82" s="42" t="s">
        <v>66</v>
      </c>
      <c r="T82" s="92" t="s">
        <v>66</v>
      </c>
      <c r="U82" s="42" t="s">
        <v>66</v>
      </c>
      <c r="V82" s="92" t="s">
        <v>66</v>
      </c>
      <c r="W82" s="42" t="s">
        <v>66</v>
      </c>
      <c r="X82" s="92" t="s">
        <v>66</v>
      </c>
      <c r="Y82" s="92" t="s">
        <v>66</v>
      </c>
      <c r="Z82" s="92" t="s">
        <v>66</v>
      </c>
      <c r="AA82" s="52">
        <v>47</v>
      </c>
      <c r="AB82" s="52">
        <v>8</v>
      </c>
      <c r="AC82" s="105">
        <f t="shared" si="11"/>
        <v>1776</v>
      </c>
      <c r="AD82" s="42" t="s">
        <v>66</v>
      </c>
      <c r="AE82" s="48" t="s">
        <v>67</v>
      </c>
      <c r="AF82" s="49" t="str">
        <f t="shared" si="12"/>
        <v>..</v>
      </c>
      <c r="AG82" s="36"/>
      <c r="AH82" s="32"/>
      <c r="AI82" s="108"/>
      <c r="AJ82" s="28"/>
      <c r="AK82" s="25"/>
      <c r="AL82" s="29"/>
      <c r="AM82" s="21"/>
      <c r="AN82" s="19">
        <v>69</v>
      </c>
      <c r="AO82" s="19">
        <v>50</v>
      </c>
      <c r="AP82" s="106">
        <f t="shared" si="8"/>
        <v>119</v>
      </c>
      <c r="AQ82" s="19" t="s">
        <v>66</v>
      </c>
      <c r="AR82" s="19" t="s">
        <v>66</v>
      </c>
      <c r="AS82" s="112" t="s">
        <v>31</v>
      </c>
      <c r="AT82" s="112" t="s">
        <v>31</v>
      </c>
      <c r="AU82" s="19" t="s">
        <v>66</v>
      </c>
      <c r="AV82" s="19" t="s">
        <v>66</v>
      </c>
      <c r="AW82" s="19" t="s">
        <v>67</v>
      </c>
      <c r="AX82" s="19" t="s">
        <v>66</v>
      </c>
      <c r="AY82" s="22">
        <v>182</v>
      </c>
      <c r="AZ82" s="22" t="s">
        <v>67</v>
      </c>
      <c r="BA82" s="19" t="s">
        <v>67</v>
      </c>
      <c r="BB82" s="106">
        <f t="shared" si="13"/>
        <v>182</v>
      </c>
      <c r="BC82" s="21"/>
      <c r="BD82" s="70" t="s">
        <v>66</v>
      </c>
      <c r="BE82" s="70" t="s">
        <v>66</v>
      </c>
      <c r="BF82" s="114" t="str">
        <f t="shared" si="14"/>
        <v>..</v>
      </c>
      <c r="BG82" s="73"/>
      <c r="BH82" s="73"/>
      <c r="BI82" s="71" t="s">
        <v>66</v>
      </c>
      <c r="BJ82" s="71" t="s">
        <v>66</v>
      </c>
      <c r="BK82" s="71" t="s">
        <v>66</v>
      </c>
      <c r="BL82" s="116" t="s">
        <v>66</v>
      </c>
    </row>
    <row r="83" spans="1:64" s="13" customFormat="1" x14ac:dyDescent="0.2">
      <c r="A83" s="13" t="str">
        <f t="shared" si="9"/>
        <v>1987Q2</v>
      </c>
      <c r="B83" s="11">
        <f>B82</f>
        <v>1987</v>
      </c>
      <c r="C83" s="11" t="s">
        <v>2</v>
      </c>
      <c r="D83" s="43">
        <v>953</v>
      </c>
      <c r="E83" s="43">
        <v>1906</v>
      </c>
      <c r="F83" s="87">
        <f t="shared" si="10"/>
        <v>2859</v>
      </c>
      <c r="G83" s="41">
        <v>818102</v>
      </c>
      <c r="H83" s="41">
        <v>1020207</v>
      </c>
      <c r="I83" s="93">
        <f t="shared" si="16"/>
        <v>202105</v>
      </c>
      <c r="J83" s="95">
        <f t="shared" si="15"/>
        <v>1.6052584097793416</v>
      </c>
      <c r="K83" s="95">
        <f t="shared" si="17"/>
        <v>1.2887176399282969</v>
      </c>
      <c r="L83" s="42" t="s">
        <v>66</v>
      </c>
      <c r="M83" s="42" t="s">
        <v>66</v>
      </c>
      <c r="N83" s="42" t="s">
        <v>67</v>
      </c>
      <c r="O83" s="42" t="s">
        <v>67</v>
      </c>
      <c r="P83" s="42" t="s">
        <v>66</v>
      </c>
      <c r="Q83" s="98">
        <v>1820</v>
      </c>
      <c r="R83" s="42" t="s">
        <v>67</v>
      </c>
      <c r="S83" s="42" t="s">
        <v>66</v>
      </c>
      <c r="T83" s="92" t="s">
        <v>66</v>
      </c>
      <c r="U83" s="42" t="s">
        <v>66</v>
      </c>
      <c r="V83" s="92" t="s">
        <v>66</v>
      </c>
      <c r="W83" s="42" t="s">
        <v>66</v>
      </c>
      <c r="X83" s="92" t="s">
        <v>66</v>
      </c>
      <c r="Y83" s="92" t="s">
        <v>66</v>
      </c>
      <c r="Z83" s="92" t="s">
        <v>66</v>
      </c>
      <c r="AA83" s="52">
        <v>88</v>
      </c>
      <c r="AB83" s="52">
        <v>13</v>
      </c>
      <c r="AC83" s="105">
        <f t="shared" si="11"/>
        <v>1921</v>
      </c>
      <c r="AD83" s="42" t="s">
        <v>66</v>
      </c>
      <c r="AE83" s="48" t="s">
        <v>67</v>
      </c>
      <c r="AF83" s="49" t="str">
        <f t="shared" si="12"/>
        <v>..</v>
      </c>
      <c r="AG83" s="36"/>
      <c r="AH83" s="32"/>
      <c r="AI83" s="108"/>
      <c r="AJ83" s="28"/>
      <c r="AK83" s="25"/>
      <c r="AL83" s="29"/>
      <c r="AM83" s="21"/>
      <c r="AN83" s="19">
        <v>59</v>
      </c>
      <c r="AO83" s="19">
        <v>56</v>
      </c>
      <c r="AP83" s="106">
        <f t="shared" si="8"/>
        <v>115</v>
      </c>
      <c r="AQ83" s="19" t="s">
        <v>66</v>
      </c>
      <c r="AR83" s="19" t="s">
        <v>66</v>
      </c>
      <c r="AS83" s="112" t="s">
        <v>31</v>
      </c>
      <c r="AT83" s="112" t="s">
        <v>31</v>
      </c>
      <c r="AU83" s="19" t="s">
        <v>66</v>
      </c>
      <c r="AV83" s="19" t="s">
        <v>66</v>
      </c>
      <c r="AW83" s="19" t="s">
        <v>67</v>
      </c>
      <c r="AX83" s="19" t="s">
        <v>66</v>
      </c>
      <c r="AY83" s="22">
        <v>211</v>
      </c>
      <c r="AZ83" s="22" t="s">
        <v>67</v>
      </c>
      <c r="BA83" s="19" t="s">
        <v>67</v>
      </c>
      <c r="BB83" s="106">
        <f t="shared" si="13"/>
        <v>211</v>
      </c>
      <c r="BC83" s="21"/>
      <c r="BD83" s="70" t="s">
        <v>66</v>
      </c>
      <c r="BE83" s="70" t="s">
        <v>66</v>
      </c>
      <c r="BF83" s="114" t="str">
        <f t="shared" si="14"/>
        <v>..</v>
      </c>
      <c r="BG83" s="73"/>
      <c r="BH83" s="73"/>
      <c r="BI83" s="71" t="s">
        <v>66</v>
      </c>
      <c r="BJ83" s="71" t="s">
        <v>66</v>
      </c>
      <c r="BK83" s="71" t="s">
        <v>66</v>
      </c>
      <c r="BL83" s="116" t="s">
        <v>66</v>
      </c>
    </row>
    <row r="84" spans="1:64" s="13" customFormat="1" x14ac:dyDescent="0.2">
      <c r="A84" s="13" t="str">
        <f t="shared" si="9"/>
        <v>1987Q3</v>
      </c>
      <c r="B84" s="11">
        <f>B83</f>
        <v>1987</v>
      </c>
      <c r="C84" s="11" t="s">
        <v>3</v>
      </c>
      <c r="D84" s="43">
        <v>694</v>
      </c>
      <c r="E84" s="43">
        <v>1859</v>
      </c>
      <c r="F84" s="87">
        <f t="shared" si="10"/>
        <v>2553</v>
      </c>
      <c r="G84" s="41">
        <v>828750</v>
      </c>
      <c r="H84" s="41">
        <v>1025921</v>
      </c>
      <c r="I84" s="93">
        <f t="shared" si="16"/>
        <v>197171</v>
      </c>
      <c r="J84" s="95">
        <f t="shared" si="15"/>
        <v>1.5282247005359624</v>
      </c>
      <c r="K84" s="95">
        <f t="shared" si="17"/>
        <v>1.232528096701065</v>
      </c>
      <c r="L84" s="42" t="s">
        <v>66</v>
      </c>
      <c r="M84" s="42" t="s">
        <v>66</v>
      </c>
      <c r="N84" s="42" t="s">
        <v>67</v>
      </c>
      <c r="O84" s="42" t="s">
        <v>67</v>
      </c>
      <c r="P84" s="42" t="s">
        <v>66</v>
      </c>
      <c r="Q84" s="98">
        <v>1687</v>
      </c>
      <c r="R84" s="42" t="s">
        <v>67</v>
      </c>
      <c r="S84" s="42" t="s">
        <v>66</v>
      </c>
      <c r="T84" s="92" t="s">
        <v>66</v>
      </c>
      <c r="U84" s="42" t="s">
        <v>66</v>
      </c>
      <c r="V84" s="92" t="s">
        <v>66</v>
      </c>
      <c r="W84" s="42" t="s">
        <v>66</v>
      </c>
      <c r="X84" s="92" t="s">
        <v>66</v>
      </c>
      <c r="Y84" s="92" t="s">
        <v>66</v>
      </c>
      <c r="Z84" s="92" t="s">
        <v>66</v>
      </c>
      <c r="AA84" s="52">
        <v>110</v>
      </c>
      <c r="AB84" s="52">
        <v>5</v>
      </c>
      <c r="AC84" s="105">
        <f t="shared" si="11"/>
        <v>1802</v>
      </c>
      <c r="AD84" s="42" t="s">
        <v>66</v>
      </c>
      <c r="AE84" s="48" t="s">
        <v>67</v>
      </c>
      <c r="AF84" s="49" t="str">
        <f t="shared" si="12"/>
        <v>..</v>
      </c>
      <c r="AG84" s="36"/>
      <c r="AH84" s="32"/>
      <c r="AI84" s="108"/>
      <c r="AJ84" s="28"/>
      <c r="AK84" s="25"/>
      <c r="AL84" s="29"/>
      <c r="AM84" s="21"/>
      <c r="AN84" s="19">
        <v>73</v>
      </c>
      <c r="AO84" s="19">
        <v>54</v>
      </c>
      <c r="AP84" s="106">
        <f t="shared" si="8"/>
        <v>127</v>
      </c>
      <c r="AQ84" s="19" t="s">
        <v>66</v>
      </c>
      <c r="AR84" s="19" t="s">
        <v>66</v>
      </c>
      <c r="AS84" s="112" t="s">
        <v>31</v>
      </c>
      <c r="AT84" s="112" t="s">
        <v>31</v>
      </c>
      <c r="AU84" s="19" t="s">
        <v>66</v>
      </c>
      <c r="AV84" s="19" t="s">
        <v>66</v>
      </c>
      <c r="AW84" s="19" t="s">
        <v>67</v>
      </c>
      <c r="AX84" s="19" t="s">
        <v>66</v>
      </c>
      <c r="AY84" s="22">
        <v>202</v>
      </c>
      <c r="AZ84" s="22" t="s">
        <v>67</v>
      </c>
      <c r="BA84" s="19" t="s">
        <v>67</v>
      </c>
      <c r="BB84" s="106">
        <f t="shared" si="13"/>
        <v>202</v>
      </c>
      <c r="BC84" s="21"/>
      <c r="BD84" s="70" t="s">
        <v>66</v>
      </c>
      <c r="BE84" s="70" t="s">
        <v>66</v>
      </c>
      <c r="BF84" s="114" t="str">
        <f t="shared" si="14"/>
        <v>..</v>
      </c>
      <c r="BG84" s="73"/>
      <c r="BH84" s="73"/>
      <c r="BI84" s="71" t="s">
        <v>66</v>
      </c>
      <c r="BJ84" s="71" t="s">
        <v>66</v>
      </c>
      <c r="BK84" s="71" t="s">
        <v>66</v>
      </c>
      <c r="BL84" s="116" t="s">
        <v>66</v>
      </c>
    </row>
    <row r="85" spans="1:64" s="13" customFormat="1" x14ac:dyDescent="0.2">
      <c r="A85" s="13" t="str">
        <f t="shared" si="9"/>
        <v>1987Q4</v>
      </c>
      <c r="B85" s="11">
        <f>B84</f>
        <v>1987</v>
      </c>
      <c r="C85" s="11" t="s">
        <v>4</v>
      </c>
      <c r="D85" s="43">
        <v>1338</v>
      </c>
      <c r="E85" s="43">
        <v>1462</v>
      </c>
      <c r="F85" s="87">
        <f t="shared" si="10"/>
        <v>2800</v>
      </c>
      <c r="G85" s="41">
        <v>858549</v>
      </c>
      <c r="H85" s="41">
        <v>1045028</v>
      </c>
      <c r="I85" s="93">
        <f t="shared" si="16"/>
        <v>186479</v>
      </c>
      <c r="J85" s="95">
        <f t="shared" si="15"/>
        <v>1.3747761211519205</v>
      </c>
      <c r="K85" s="95">
        <f t="shared" si="17"/>
        <v>1.1134775659432974</v>
      </c>
      <c r="L85" s="42" t="s">
        <v>66</v>
      </c>
      <c r="M85" s="42" t="s">
        <v>66</v>
      </c>
      <c r="N85" s="42" t="s">
        <v>67</v>
      </c>
      <c r="O85" s="42" t="s">
        <v>67</v>
      </c>
      <c r="P85" s="42" t="s">
        <v>66</v>
      </c>
      <c r="Q85" s="98">
        <v>1766</v>
      </c>
      <c r="R85" s="42" t="s">
        <v>67</v>
      </c>
      <c r="S85" s="42" t="s">
        <v>66</v>
      </c>
      <c r="T85" s="92" t="s">
        <v>66</v>
      </c>
      <c r="U85" s="42" t="s">
        <v>66</v>
      </c>
      <c r="V85" s="92" t="s">
        <v>66</v>
      </c>
      <c r="W85" s="42" t="s">
        <v>66</v>
      </c>
      <c r="X85" s="92" t="s">
        <v>66</v>
      </c>
      <c r="Y85" s="92" t="s">
        <v>66</v>
      </c>
      <c r="Z85" s="92" t="s">
        <v>66</v>
      </c>
      <c r="AA85" s="52">
        <v>159</v>
      </c>
      <c r="AB85" s="52">
        <v>3</v>
      </c>
      <c r="AC85" s="105">
        <f t="shared" si="11"/>
        <v>1928</v>
      </c>
      <c r="AD85" s="42" t="s">
        <v>66</v>
      </c>
      <c r="AE85" s="48" t="s">
        <v>67</v>
      </c>
      <c r="AF85" s="49" t="str">
        <f t="shared" si="12"/>
        <v>..</v>
      </c>
      <c r="AG85" s="36"/>
      <c r="AH85" s="32"/>
      <c r="AI85" s="108"/>
      <c r="AJ85" s="28"/>
      <c r="AK85" s="25"/>
      <c r="AL85" s="29"/>
      <c r="AM85" s="21"/>
      <c r="AN85" s="19">
        <v>52</v>
      </c>
      <c r="AO85" s="19">
        <v>43</v>
      </c>
      <c r="AP85" s="106">
        <f t="shared" si="8"/>
        <v>95</v>
      </c>
      <c r="AQ85" s="19" t="s">
        <v>66</v>
      </c>
      <c r="AR85" s="19" t="s">
        <v>66</v>
      </c>
      <c r="AS85" s="112" t="s">
        <v>31</v>
      </c>
      <c r="AT85" s="112" t="s">
        <v>31</v>
      </c>
      <c r="AU85" s="19" t="s">
        <v>66</v>
      </c>
      <c r="AV85" s="19" t="s">
        <v>66</v>
      </c>
      <c r="AW85" s="19" t="s">
        <v>67</v>
      </c>
      <c r="AX85" s="19" t="s">
        <v>66</v>
      </c>
      <c r="AY85" s="22">
        <v>213</v>
      </c>
      <c r="AZ85" s="22" t="s">
        <v>67</v>
      </c>
      <c r="BA85" s="19" t="s">
        <v>67</v>
      </c>
      <c r="BB85" s="106">
        <f t="shared" si="13"/>
        <v>213</v>
      </c>
      <c r="BC85" s="21"/>
      <c r="BD85" s="70" t="s">
        <v>66</v>
      </c>
      <c r="BE85" s="70" t="s">
        <v>66</v>
      </c>
      <c r="BF85" s="114" t="str">
        <f t="shared" si="14"/>
        <v>..</v>
      </c>
      <c r="BG85" s="73"/>
      <c r="BH85" s="73"/>
      <c r="BI85" s="71" t="s">
        <v>66</v>
      </c>
      <c r="BJ85" s="71" t="s">
        <v>66</v>
      </c>
      <c r="BK85" s="71" t="s">
        <v>66</v>
      </c>
      <c r="BL85" s="116" t="s">
        <v>66</v>
      </c>
    </row>
    <row r="86" spans="1:64" s="13" customFormat="1" x14ac:dyDescent="0.2">
      <c r="A86" s="13" t="str">
        <f t="shared" si="9"/>
        <v>1988Q1</v>
      </c>
      <c r="B86" s="11">
        <v>1988</v>
      </c>
      <c r="C86" s="63" t="s">
        <v>1</v>
      </c>
      <c r="D86" s="43">
        <v>967</v>
      </c>
      <c r="E86" s="43">
        <v>1636</v>
      </c>
      <c r="F86" s="87">
        <f t="shared" si="10"/>
        <v>2603</v>
      </c>
      <c r="G86" s="41">
        <v>874324</v>
      </c>
      <c r="H86" s="41">
        <v>1056304</v>
      </c>
      <c r="I86" s="93">
        <f t="shared" si="16"/>
        <v>181980</v>
      </c>
      <c r="J86" s="95">
        <f t="shared" si="15"/>
        <v>1.2799857976610522</v>
      </c>
      <c r="K86" s="95">
        <f t="shared" si="17"/>
        <v>1.0430480342185338</v>
      </c>
      <c r="L86" s="42" t="s">
        <v>66</v>
      </c>
      <c r="M86" s="42" t="s">
        <v>66</v>
      </c>
      <c r="N86" s="42" t="s">
        <v>67</v>
      </c>
      <c r="O86" s="42" t="s">
        <v>67</v>
      </c>
      <c r="P86" s="42" t="s">
        <v>66</v>
      </c>
      <c r="Q86" s="98">
        <v>2092</v>
      </c>
      <c r="R86" s="42" t="s">
        <v>67</v>
      </c>
      <c r="S86" s="42" t="s">
        <v>66</v>
      </c>
      <c r="T86" s="92" t="s">
        <v>66</v>
      </c>
      <c r="U86" s="42" t="s">
        <v>66</v>
      </c>
      <c r="V86" s="92" t="s">
        <v>66</v>
      </c>
      <c r="W86" s="42" t="s">
        <v>66</v>
      </c>
      <c r="X86" s="92" t="s">
        <v>66</v>
      </c>
      <c r="Y86" s="92" t="s">
        <v>66</v>
      </c>
      <c r="Z86" s="92" t="s">
        <v>66</v>
      </c>
      <c r="AA86" s="52">
        <v>181</v>
      </c>
      <c r="AB86" s="52">
        <v>3</v>
      </c>
      <c r="AC86" s="105">
        <f t="shared" si="11"/>
        <v>2276</v>
      </c>
      <c r="AD86" s="42" t="s">
        <v>66</v>
      </c>
      <c r="AE86" s="48" t="s">
        <v>67</v>
      </c>
      <c r="AF86" s="49" t="str">
        <f t="shared" si="12"/>
        <v>..</v>
      </c>
      <c r="AG86" s="36"/>
      <c r="AH86" s="32"/>
      <c r="AI86" s="108"/>
      <c r="AJ86" s="28"/>
      <c r="AK86" s="25"/>
      <c r="AL86" s="29"/>
      <c r="AM86" s="21"/>
      <c r="AN86" s="19">
        <v>60</v>
      </c>
      <c r="AO86" s="19">
        <v>48</v>
      </c>
      <c r="AP86" s="106">
        <f t="shared" si="8"/>
        <v>108</v>
      </c>
      <c r="AQ86" s="19" t="s">
        <v>66</v>
      </c>
      <c r="AR86" s="19" t="s">
        <v>66</v>
      </c>
      <c r="AS86" s="112" t="s">
        <v>31</v>
      </c>
      <c r="AT86" s="112" t="s">
        <v>31</v>
      </c>
      <c r="AU86" s="19" t="s">
        <v>66</v>
      </c>
      <c r="AV86" s="19" t="s">
        <v>66</v>
      </c>
      <c r="AW86" s="19" t="s">
        <v>67</v>
      </c>
      <c r="AX86" s="19" t="s">
        <v>66</v>
      </c>
      <c r="AY86" s="22">
        <v>286</v>
      </c>
      <c r="AZ86" s="22" t="s">
        <v>67</v>
      </c>
      <c r="BA86" s="19" t="s">
        <v>67</v>
      </c>
      <c r="BB86" s="106">
        <f t="shared" si="13"/>
        <v>286</v>
      </c>
      <c r="BC86" s="21"/>
      <c r="BD86" s="70" t="s">
        <v>66</v>
      </c>
      <c r="BE86" s="70" t="s">
        <v>66</v>
      </c>
      <c r="BF86" s="114" t="str">
        <f t="shared" si="14"/>
        <v>..</v>
      </c>
      <c r="BG86" s="73"/>
      <c r="BH86" s="73"/>
      <c r="BI86" s="71" t="s">
        <v>66</v>
      </c>
      <c r="BJ86" s="71" t="s">
        <v>66</v>
      </c>
      <c r="BK86" s="71" t="s">
        <v>66</v>
      </c>
      <c r="BL86" s="116" t="s">
        <v>66</v>
      </c>
    </row>
    <row r="87" spans="1:64" s="13" customFormat="1" x14ac:dyDescent="0.2">
      <c r="A87" s="13" t="str">
        <f t="shared" si="9"/>
        <v>1988Q2</v>
      </c>
      <c r="B87" s="11">
        <f>B86</f>
        <v>1988</v>
      </c>
      <c r="C87" s="11" t="s">
        <v>2</v>
      </c>
      <c r="D87" s="43">
        <v>942</v>
      </c>
      <c r="E87" s="43">
        <v>1472</v>
      </c>
      <c r="F87" s="87">
        <f t="shared" si="10"/>
        <v>2414</v>
      </c>
      <c r="G87" s="41">
        <v>882644</v>
      </c>
      <c r="H87" s="41">
        <v>1072141</v>
      </c>
      <c r="I87" s="93">
        <f t="shared" si="16"/>
        <v>189497</v>
      </c>
      <c r="J87" s="95">
        <f t="shared" si="15"/>
        <v>1.2043201064261277</v>
      </c>
      <c r="K87" s="95">
        <f t="shared" si="17"/>
        <v>0.98776156750235866</v>
      </c>
      <c r="L87" s="42" t="s">
        <v>66</v>
      </c>
      <c r="M87" s="42" t="s">
        <v>66</v>
      </c>
      <c r="N87" s="42" t="s">
        <v>67</v>
      </c>
      <c r="O87" s="42" t="s">
        <v>67</v>
      </c>
      <c r="P87" s="42" t="s">
        <v>66</v>
      </c>
      <c r="Q87" s="98">
        <v>2025</v>
      </c>
      <c r="R87" s="42" t="s">
        <v>67</v>
      </c>
      <c r="S87" s="42" t="s">
        <v>66</v>
      </c>
      <c r="T87" s="92" t="s">
        <v>66</v>
      </c>
      <c r="U87" s="42" t="s">
        <v>66</v>
      </c>
      <c r="V87" s="92" t="s">
        <v>66</v>
      </c>
      <c r="W87" s="42" t="s">
        <v>66</v>
      </c>
      <c r="X87" s="92" t="s">
        <v>66</v>
      </c>
      <c r="Y87" s="92" t="s">
        <v>66</v>
      </c>
      <c r="Z87" s="92" t="s">
        <v>66</v>
      </c>
      <c r="AA87" s="52">
        <v>184</v>
      </c>
      <c r="AB87" s="52">
        <v>3</v>
      </c>
      <c r="AC87" s="105">
        <f t="shared" si="11"/>
        <v>2212</v>
      </c>
      <c r="AD87" s="42" t="s">
        <v>66</v>
      </c>
      <c r="AE87" s="48" t="s">
        <v>67</v>
      </c>
      <c r="AF87" s="49" t="str">
        <f t="shared" si="12"/>
        <v>..</v>
      </c>
      <c r="AG87" s="36"/>
      <c r="AH87" s="32"/>
      <c r="AI87" s="108"/>
      <c r="AJ87" s="28"/>
      <c r="AK87" s="25"/>
      <c r="AL87" s="29"/>
      <c r="AM87" s="21"/>
      <c r="AN87" s="19">
        <v>48</v>
      </c>
      <c r="AO87" s="19">
        <v>57</v>
      </c>
      <c r="AP87" s="106">
        <f t="shared" si="8"/>
        <v>105</v>
      </c>
      <c r="AQ87" s="19" t="s">
        <v>66</v>
      </c>
      <c r="AR87" s="19" t="s">
        <v>66</v>
      </c>
      <c r="AS87" s="112" t="s">
        <v>31</v>
      </c>
      <c r="AT87" s="112" t="s">
        <v>31</v>
      </c>
      <c r="AU87" s="19" t="s">
        <v>66</v>
      </c>
      <c r="AV87" s="19" t="s">
        <v>66</v>
      </c>
      <c r="AW87" s="19" t="s">
        <v>67</v>
      </c>
      <c r="AX87" s="19" t="s">
        <v>66</v>
      </c>
      <c r="AY87" s="22">
        <v>315</v>
      </c>
      <c r="AZ87" s="22" t="s">
        <v>67</v>
      </c>
      <c r="BA87" s="19" t="s">
        <v>67</v>
      </c>
      <c r="BB87" s="106">
        <f t="shared" si="13"/>
        <v>315</v>
      </c>
      <c r="BC87" s="21"/>
      <c r="BD87" s="70" t="s">
        <v>66</v>
      </c>
      <c r="BE87" s="70" t="s">
        <v>66</v>
      </c>
      <c r="BF87" s="114" t="str">
        <f t="shared" si="14"/>
        <v>..</v>
      </c>
      <c r="BG87" s="73"/>
      <c r="BH87" s="73"/>
      <c r="BI87" s="71" t="s">
        <v>66</v>
      </c>
      <c r="BJ87" s="71" t="s">
        <v>66</v>
      </c>
      <c r="BK87" s="71" t="s">
        <v>66</v>
      </c>
      <c r="BL87" s="116" t="s">
        <v>66</v>
      </c>
    </row>
    <row r="88" spans="1:64" s="13" customFormat="1" x14ac:dyDescent="0.2">
      <c r="A88" s="13" t="str">
        <f t="shared" si="9"/>
        <v>1988Q3</v>
      </c>
      <c r="B88" s="11">
        <f>B87</f>
        <v>1988</v>
      </c>
      <c r="C88" s="11" t="s">
        <v>3</v>
      </c>
      <c r="D88" s="43">
        <v>507</v>
      </c>
      <c r="E88" s="43">
        <v>1240</v>
      </c>
      <c r="F88" s="87">
        <f t="shared" si="10"/>
        <v>1747</v>
      </c>
      <c r="G88" s="41">
        <v>890118</v>
      </c>
      <c r="H88" s="41">
        <v>1074263</v>
      </c>
      <c r="I88" s="93">
        <f t="shared" si="16"/>
        <v>184145</v>
      </c>
      <c r="J88" s="95">
        <f t="shared" si="15"/>
        <v>1.0912716241137483</v>
      </c>
      <c r="K88" s="95">
        <f t="shared" si="17"/>
        <v>0.90062094254445191</v>
      </c>
      <c r="L88" s="42" t="s">
        <v>66</v>
      </c>
      <c r="M88" s="42" t="s">
        <v>66</v>
      </c>
      <c r="N88" s="42" t="s">
        <v>67</v>
      </c>
      <c r="O88" s="42" t="s">
        <v>67</v>
      </c>
      <c r="P88" s="42" t="s">
        <v>66</v>
      </c>
      <c r="Q88" s="98">
        <v>1695</v>
      </c>
      <c r="R88" s="42" t="s">
        <v>67</v>
      </c>
      <c r="S88" s="42" t="s">
        <v>66</v>
      </c>
      <c r="T88" s="92" t="s">
        <v>66</v>
      </c>
      <c r="U88" s="42" t="s">
        <v>66</v>
      </c>
      <c r="V88" s="92" t="s">
        <v>66</v>
      </c>
      <c r="W88" s="42" t="s">
        <v>66</v>
      </c>
      <c r="X88" s="92" t="s">
        <v>66</v>
      </c>
      <c r="Y88" s="92" t="s">
        <v>66</v>
      </c>
      <c r="Z88" s="92" t="s">
        <v>66</v>
      </c>
      <c r="AA88" s="52">
        <v>217</v>
      </c>
      <c r="AB88" s="52">
        <v>4</v>
      </c>
      <c r="AC88" s="105">
        <f t="shared" si="11"/>
        <v>1916</v>
      </c>
      <c r="AD88" s="42" t="s">
        <v>66</v>
      </c>
      <c r="AE88" s="48" t="s">
        <v>67</v>
      </c>
      <c r="AF88" s="49" t="str">
        <f t="shared" si="12"/>
        <v>..</v>
      </c>
      <c r="AG88" s="36"/>
      <c r="AH88" s="32"/>
      <c r="AI88" s="108"/>
      <c r="AJ88" s="28"/>
      <c r="AK88" s="25"/>
      <c r="AL88" s="29"/>
      <c r="AM88" s="21"/>
      <c r="AN88" s="19">
        <v>65</v>
      </c>
      <c r="AO88" s="19">
        <v>35</v>
      </c>
      <c r="AP88" s="106">
        <f t="shared" si="8"/>
        <v>100</v>
      </c>
      <c r="AQ88" s="19" t="s">
        <v>66</v>
      </c>
      <c r="AR88" s="19" t="s">
        <v>66</v>
      </c>
      <c r="AS88" s="112" t="s">
        <v>31</v>
      </c>
      <c r="AT88" s="112" t="s">
        <v>31</v>
      </c>
      <c r="AU88" s="19" t="s">
        <v>66</v>
      </c>
      <c r="AV88" s="19" t="s">
        <v>66</v>
      </c>
      <c r="AW88" s="19" t="s">
        <v>67</v>
      </c>
      <c r="AX88" s="19" t="s">
        <v>66</v>
      </c>
      <c r="AY88" s="22">
        <v>367</v>
      </c>
      <c r="AZ88" s="22" t="s">
        <v>67</v>
      </c>
      <c r="BA88" s="19" t="s">
        <v>67</v>
      </c>
      <c r="BB88" s="106">
        <f t="shared" si="13"/>
        <v>367</v>
      </c>
      <c r="BC88" s="21"/>
      <c r="BD88" s="70" t="s">
        <v>66</v>
      </c>
      <c r="BE88" s="70" t="s">
        <v>66</v>
      </c>
      <c r="BF88" s="114" t="str">
        <f t="shared" si="14"/>
        <v>..</v>
      </c>
      <c r="BG88" s="73"/>
      <c r="BH88" s="73"/>
      <c r="BI88" s="71" t="s">
        <v>66</v>
      </c>
      <c r="BJ88" s="71" t="s">
        <v>66</v>
      </c>
      <c r="BK88" s="71" t="s">
        <v>66</v>
      </c>
      <c r="BL88" s="116" t="s">
        <v>66</v>
      </c>
    </row>
    <row r="89" spans="1:64" s="13" customFormat="1" x14ac:dyDescent="0.2">
      <c r="A89" s="13" t="str">
        <f t="shared" si="9"/>
        <v>1988Q4</v>
      </c>
      <c r="B89" s="11">
        <f>B88</f>
        <v>1988</v>
      </c>
      <c r="C89" s="11" t="s">
        <v>4</v>
      </c>
      <c r="D89" s="43">
        <v>1251</v>
      </c>
      <c r="E89" s="43">
        <v>1412</v>
      </c>
      <c r="F89" s="87">
        <f t="shared" si="10"/>
        <v>2663</v>
      </c>
      <c r="G89" s="41">
        <v>913205</v>
      </c>
      <c r="H89" s="41">
        <v>1071899</v>
      </c>
      <c r="I89" s="93">
        <f t="shared" si="16"/>
        <v>158694</v>
      </c>
      <c r="J89" s="95">
        <f t="shared" si="15"/>
        <v>1.0591269084465287</v>
      </c>
      <c r="K89" s="95">
        <f t="shared" si="17"/>
        <v>0.88213957446848335</v>
      </c>
      <c r="L89" s="42" t="s">
        <v>66</v>
      </c>
      <c r="M89" s="42" t="s">
        <v>66</v>
      </c>
      <c r="N89" s="42" t="s">
        <v>67</v>
      </c>
      <c r="O89" s="42" t="s">
        <v>67</v>
      </c>
      <c r="P89" s="42" t="s">
        <v>66</v>
      </c>
      <c r="Q89" s="98">
        <v>1905</v>
      </c>
      <c r="R89" s="42" t="s">
        <v>67</v>
      </c>
      <c r="S89" s="42" t="s">
        <v>66</v>
      </c>
      <c r="T89" s="92" t="s">
        <v>66</v>
      </c>
      <c r="U89" s="42" t="s">
        <v>66</v>
      </c>
      <c r="V89" s="92" t="s">
        <v>66</v>
      </c>
      <c r="W89" s="42" t="s">
        <v>66</v>
      </c>
      <c r="X89" s="92" t="s">
        <v>66</v>
      </c>
      <c r="Y89" s="92" t="s">
        <v>66</v>
      </c>
      <c r="Z89" s="92" t="s">
        <v>66</v>
      </c>
      <c r="AA89" s="52">
        <v>197</v>
      </c>
      <c r="AB89" s="52">
        <v>1</v>
      </c>
      <c r="AC89" s="105">
        <f t="shared" si="11"/>
        <v>2103</v>
      </c>
      <c r="AD89" s="42" t="s">
        <v>66</v>
      </c>
      <c r="AE89" s="48" t="s">
        <v>67</v>
      </c>
      <c r="AF89" s="49" t="str">
        <f t="shared" si="12"/>
        <v>..</v>
      </c>
      <c r="AG89" s="36"/>
      <c r="AH89" s="32"/>
      <c r="AI89" s="108"/>
      <c r="AJ89" s="28"/>
      <c r="AK89" s="25"/>
      <c r="AL89" s="29"/>
      <c r="AM89" s="21"/>
      <c r="AN89" s="19">
        <v>55</v>
      </c>
      <c r="AO89" s="19">
        <v>28</v>
      </c>
      <c r="AP89" s="106">
        <f t="shared" si="8"/>
        <v>83</v>
      </c>
      <c r="AQ89" s="20">
        <v>47103</v>
      </c>
      <c r="AR89" s="20">
        <v>56085</v>
      </c>
      <c r="AS89" s="112" t="s">
        <v>31</v>
      </c>
      <c r="AT89" s="112" t="s">
        <v>31</v>
      </c>
      <c r="AU89" s="19" t="s">
        <v>66</v>
      </c>
      <c r="AV89" s="19" t="s">
        <v>66</v>
      </c>
      <c r="AW89" s="19" t="s">
        <v>67</v>
      </c>
      <c r="AX89" s="19" t="s">
        <v>66</v>
      </c>
      <c r="AY89" s="22">
        <v>433</v>
      </c>
      <c r="AZ89" s="22" t="s">
        <v>67</v>
      </c>
      <c r="BA89" s="19" t="s">
        <v>67</v>
      </c>
      <c r="BB89" s="106">
        <f t="shared" si="13"/>
        <v>433</v>
      </c>
      <c r="BC89" s="21"/>
      <c r="BD89" s="70" t="s">
        <v>66</v>
      </c>
      <c r="BE89" s="70" t="s">
        <v>66</v>
      </c>
      <c r="BF89" s="114" t="str">
        <f t="shared" si="14"/>
        <v>..</v>
      </c>
      <c r="BG89" s="73"/>
      <c r="BH89" s="73"/>
      <c r="BI89" s="71" t="s">
        <v>66</v>
      </c>
      <c r="BJ89" s="71" t="s">
        <v>66</v>
      </c>
      <c r="BK89" s="71" t="s">
        <v>66</v>
      </c>
      <c r="BL89" s="116" t="s">
        <v>66</v>
      </c>
    </row>
    <row r="90" spans="1:64" s="13" customFormat="1" x14ac:dyDescent="0.2">
      <c r="A90" s="13" t="str">
        <f t="shared" si="9"/>
        <v>1989Q1</v>
      </c>
      <c r="B90" s="11">
        <v>1989</v>
      </c>
      <c r="C90" s="63" t="s">
        <v>1</v>
      </c>
      <c r="D90" s="43">
        <v>854</v>
      </c>
      <c r="E90" s="43">
        <v>1713</v>
      </c>
      <c r="F90" s="87">
        <f t="shared" si="10"/>
        <v>2567</v>
      </c>
      <c r="G90" s="41">
        <v>927510</v>
      </c>
      <c r="H90" s="41">
        <v>1076914</v>
      </c>
      <c r="I90" s="93">
        <f t="shared" si="16"/>
        <v>149404</v>
      </c>
      <c r="J90" s="95">
        <f t="shared" si="15"/>
        <v>1.0395527631696564</v>
      </c>
      <c r="K90" s="95">
        <f t="shared" si="17"/>
        <v>0.87455418434039534</v>
      </c>
      <c r="L90" s="42" t="s">
        <v>66</v>
      </c>
      <c r="M90" s="42" t="s">
        <v>66</v>
      </c>
      <c r="N90" s="42" t="s">
        <v>67</v>
      </c>
      <c r="O90" s="42" t="s">
        <v>67</v>
      </c>
      <c r="P90" s="42" t="s">
        <v>66</v>
      </c>
      <c r="Q90" s="98">
        <v>1972</v>
      </c>
      <c r="R90" s="42" t="s">
        <v>67</v>
      </c>
      <c r="S90" s="42" t="s">
        <v>66</v>
      </c>
      <c r="T90" s="92" t="s">
        <v>66</v>
      </c>
      <c r="U90" s="42" t="s">
        <v>66</v>
      </c>
      <c r="V90" s="92" t="s">
        <v>66</v>
      </c>
      <c r="W90" s="42" t="s">
        <v>66</v>
      </c>
      <c r="X90" s="92" t="s">
        <v>66</v>
      </c>
      <c r="Y90" s="92" t="s">
        <v>66</v>
      </c>
      <c r="Z90" s="92" t="s">
        <v>66</v>
      </c>
      <c r="AA90" s="52">
        <v>251</v>
      </c>
      <c r="AB90" s="52">
        <v>1</v>
      </c>
      <c r="AC90" s="105">
        <f t="shared" si="11"/>
        <v>2224</v>
      </c>
      <c r="AD90" s="42" t="s">
        <v>66</v>
      </c>
      <c r="AE90" s="48" t="s">
        <v>67</v>
      </c>
      <c r="AF90" s="49" t="str">
        <f t="shared" si="12"/>
        <v>..</v>
      </c>
      <c r="AG90" s="36"/>
      <c r="AH90" s="32"/>
      <c r="AI90" s="108"/>
      <c r="AJ90" s="28"/>
      <c r="AK90" s="25"/>
      <c r="AL90" s="29"/>
      <c r="AM90" s="21"/>
      <c r="AN90" s="19">
        <v>67</v>
      </c>
      <c r="AO90" s="19">
        <v>54</v>
      </c>
      <c r="AP90" s="106">
        <f t="shared" si="8"/>
        <v>121</v>
      </c>
      <c r="AQ90" s="20">
        <v>48066</v>
      </c>
      <c r="AR90" s="20">
        <v>56767</v>
      </c>
      <c r="AS90" s="112" t="s">
        <v>31</v>
      </c>
      <c r="AT90" s="112" t="s">
        <v>31</v>
      </c>
      <c r="AU90" s="19" t="s">
        <v>66</v>
      </c>
      <c r="AV90" s="19" t="s">
        <v>66</v>
      </c>
      <c r="AW90" s="19" t="s">
        <v>67</v>
      </c>
      <c r="AX90" s="19" t="s">
        <v>66</v>
      </c>
      <c r="AY90" s="22">
        <v>445</v>
      </c>
      <c r="AZ90" s="22" t="s">
        <v>67</v>
      </c>
      <c r="BA90" s="19" t="s">
        <v>67</v>
      </c>
      <c r="BB90" s="106">
        <f t="shared" si="13"/>
        <v>445</v>
      </c>
      <c r="BC90" s="21"/>
      <c r="BD90" s="70" t="s">
        <v>66</v>
      </c>
      <c r="BE90" s="70" t="s">
        <v>66</v>
      </c>
      <c r="BF90" s="114" t="str">
        <f t="shared" si="14"/>
        <v>..</v>
      </c>
      <c r="BG90" s="73"/>
      <c r="BH90" s="73"/>
      <c r="BI90" s="71" t="s">
        <v>66</v>
      </c>
      <c r="BJ90" s="71" t="s">
        <v>66</v>
      </c>
      <c r="BK90" s="71" t="s">
        <v>66</v>
      </c>
      <c r="BL90" s="116" t="s">
        <v>66</v>
      </c>
    </row>
    <row r="91" spans="1:64" s="13" customFormat="1" x14ac:dyDescent="0.2">
      <c r="A91" s="13" t="str">
        <f t="shared" si="9"/>
        <v>1989Q2</v>
      </c>
      <c r="B91" s="11">
        <f>B90</f>
        <v>1989</v>
      </c>
      <c r="C91" s="11" t="s">
        <v>2</v>
      </c>
      <c r="D91" s="43">
        <v>1103</v>
      </c>
      <c r="E91" s="43">
        <v>1711</v>
      </c>
      <c r="F91" s="87">
        <f t="shared" si="10"/>
        <v>2814</v>
      </c>
      <c r="G91" s="41">
        <v>928781</v>
      </c>
      <c r="H91" s="41">
        <v>1084590</v>
      </c>
      <c r="I91" s="93">
        <f t="shared" si="16"/>
        <v>155809</v>
      </c>
      <c r="J91" s="95">
        <f t="shared" si="15"/>
        <v>1.0701675094695779</v>
      </c>
      <c r="K91" s="95">
        <f t="shared" si="17"/>
        <v>0.90916983814436858</v>
      </c>
      <c r="L91" s="42" t="s">
        <v>66</v>
      </c>
      <c r="M91" s="42" t="s">
        <v>66</v>
      </c>
      <c r="N91" s="42" t="s">
        <v>67</v>
      </c>
      <c r="O91" s="42" t="s">
        <v>67</v>
      </c>
      <c r="P91" s="42" t="s">
        <v>66</v>
      </c>
      <c r="Q91" s="98">
        <v>2103</v>
      </c>
      <c r="R91" s="42" t="s">
        <v>67</v>
      </c>
      <c r="S91" s="42" t="s">
        <v>66</v>
      </c>
      <c r="T91" s="92" t="s">
        <v>66</v>
      </c>
      <c r="U91" s="42" t="s">
        <v>66</v>
      </c>
      <c r="V91" s="92" t="s">
        <v>66</v>
      </c>
      <c r="W91" s="42" t="s">
        <v>66</v>
      </c>
      <c r="X91" s="92" t="s">
        <v>66</v>
      </c>
      <c r="Y91" s="92" t="s">
        <v>66</v>
      </c>
      <c r="Z91" s="92" t="s">
        <v>66</v>
      </c>
      <c r="AA91" s="52">
        <v>315</v>
      </c>
      <c r="AB91" s="52">
        <v>0</v>
      </c>
      <c r="AC91" s="105">
        <f t="shared" si="11"/>
        <v>2418</v>
      </c>
      <c r="AD91" s="42" t="s">
        <v>66</v>
      </c>
      <c r="AE91" s="48" t="s">
        <v>67</v>
      </c>
      <c r="AF91" s="49" t="str">
        <f t="shared" si="12"/>
        <v>..</v>
      </c>
      <c r="AG91" s="36"/>
      <c r="AH91" s="32"/>
      <c r="AI91" s="108"/>
      <c r="AJ91" s="28"/>
      <c r="AK91" s="25"/>
      <c r="AL91" s="29"/>
      <c r="AM91" s="21"/>
      <c r="AN91" s="19">
        <v>60</v>
      </c>
      <c r="AO91" s="19">
        <v>39</v>
      </c>
      <c r="AP91" s="106">
        <f t="shared" si="8"/>
        <v>99</v>
      </c>
      <c r="AQ91" s="20">
        <v>48500</v>
      </c>
      <c r="AR91" s="20">
        <v>57785</v>
      </c>
      <c r="AS91" s="112" t="s">
        <v>31</v>
      </c>
      <c r="AT91" s="112" t="s">
        <v>31</v>
      </c>
      <c r="AU91" s="19" t="s">
        <v>66</v>
      </c>
      <c r="AV91" s="19" t="s">
        <v>66</v>
      </c>
      <c r="AW91" s="19" t="s">
        <v>67</v>
      </c>
      <c r="AX91" s="19" t="s">
        <v>66</v>
      </c>
      <c r="AY91" s="22">
        <v>659</v>
      </c>
      <c r="AZ91" s="22" t="s">
        <v>67</v>
      </c>
      <c r="BA91" s="19" t="s">
        <v>67</v>
      </c>
      <c r="BB91" s="106">
        <f t="shared" si="13"/>
        <v>659</v>
      </c>
      <c r="BC91" s="21"/>
      <c r="BD91" s="70" t="s">
        <v>66</v>
      </c>
      <c r="BE91" s="70" t="s">
        <v>66</v>
      </c>
      <c r="BF91" s="114" t="str">
        <f t="shared" si="14"/>
        <v>..</v>
      </c>
      <c r="BG91" s="73"/>
      <c r="BH91" s="73"/>
      <c r="BI91" s="71" t="s">
        <v>66</v>
      </c>
      <c r="BJ91" s="71" t="s">
        <v>66</v>
      </c>
      <c r="BK91" s="71" t="s">
        <v>66</v>
      </c>
      <c r="BL91" s="116" t="s">
        <v>66</v>
      </c>
    </row>
    <row r="92" spans="1:64" s="13" customFormat="1" x14ac:dyDescent="0.2">
      <c r="A92" s="13" t="str">
        <f t="shared" si="9"/>
        <v>1989Q3</v>
      </c>
      <c r="B92" s="11">
        <f>B91</f>
        <v>1989</v>
      </c>
      <c r="C92" s="11" t="s">
        <v>3</v>
      </c>
      <c r="D92" s="43">
        <v>548</v>
      </c>
      <c r="E92" s="43">
        <v>1479</v>
      </c>
      <c r="F92" s="87">
        <f t="shared" si="10"/>
        <v>2027</v>
      </c>
      <c r="G92" s="41">
        <v>952225</v>
      </c>
      <c r="H92" s="41">
        <v>1096920</v>
      </c>
      <c r="I92" s="93">
        <f t="shared" si="16"/>
        <v>144695</v>
      </c>
      <c r="J92" s="95">
        <f t="shared" si="15"/>
        <v>1.0824024691802527</v>
      </c>
      <c r="K92" s="95">
        <f t="shared" si="17"/>
        <v>0.93027702552442393</v>
      </c>
      <c r="L92" s="42" t="s">
        <v>66</v>
      </c>
      <c r="M92" s="42" t="s">
        <v>66</v>
      </c>
      <c r="N92" s="42" t="s">
        <v>67</v>
      </c>
      <c r="O92" s="42" t="s">
        <v>67</v>
      </c>
      <c r="P92" s="42" t="s">
        <v>66</v>
      </c>
      <c r="Q92" s="98">
        <v>1837</v>
      </c>
      <c r="R92" s="42" t="s">
        <v>67</v>
      </c>
      <c r="S92" s="42" t="s">
        <v>66</v>
      </c>
      <c r="T92" s="92" t="s">
        <v>66</v>
      </c>
      <c r="U92" s="42" t="s">
        <v>66</v>
      </c>
      <c r="V92" s="92" t="s">
        <v>66</v>
      </c>
      <c r="W92" s="42" t="s">
        <v>66</v>
      </c>
      <c r="X92" s="92" t="s">
        <v>66</v>
      </c>
      <c r="Y92" s="92" t="s">
        <v>66</v>
      </c>
      <c r="Z92" s="92" t="s">
        <v>66</v>
      </c>
      <c r="AA92" s="52">
        <v>321</v>
      </c>
      <c r="AB92" s="52">
        <v>1</v>
      </c>
      <c r="AC92" s="105">
        <f t="shared" si="11"/>
        <v>2159</v>
      </c>
      <c r="AD92" s="42" t="s">
        <v>66</v>
      </c>
      <c r="AE92" s="48" t="s">
        <v>67</v>
      </c>
      <c r="AF92" s="49" t="str">
        <f t="shared" si="12"/>
        <v>..</v>
      </c>
      <c r="AG92" s="36"/>
      <c r="AH92" s="32"/>
      <c r="AI92" s="108"/>
      <c r="AJ92" s="28"/>
      <c r="AK92" s="25"/>
      <c r="AL92" s="29"/>
      <c r="AM92" s="21"/>
      <c r="AN92" s="19">
        <v>57</v>
      </c>
      <c r="AO92" s="19">
        <v>56</v>
      </c>
      <c r="AP92" s="106">
        <f t="shared" si="8"/>
        <v>113</v>
      </c>
      <c r="AQ92" s="20">
        <v>48198</v>
      </c>
      <c r="AR92" s="20">
        <v>57834</v>
      </c>
      <c r="AS92" s="118">
        <f t="shared" ref="AS92:AS123" si="18">4*(SUM($AP89:$AP92)/SUM(AQ89:AQ92))*100</f>
        <v>0.86726743004268592</v>
      </c>
      <c r="AT92" s="118">
        <f t="shared" ref="AT92:AT123" si="19">4*(SUM($AP89:$AP92)/SUM(AR89:AR92))*100</f>
        <v>0.72832000560246157</v>
      </c>
      <c r="AU92" s="19" t="s">
        <v>66</v>
      </c>
      <c r="AV92" s="19" t="s">
        <v>66</v>
      </c>
      <c r="AW92" s="19" t="s">
        <v>67</v>
      </c>
      <c r="AX92" s="19" t="s">
        <v>66</v>
      </c>
      <c r="AY92" s="22">
        <v>563</v>
      </c>
      <c r="AZ92" s="22" t="s">
        <v>67</v>
      </c>
      <c r="BA92" s="19" t="s">
        <v>67</v>
      </c>
      <c r="BB92" s="106">
        <f t="shared" si="13"/>
        <v>563</v>
      </c>
      <c r="BC92" s="21"/>
      <c r="BD92" s="70" t="s">
        <v>66</v>
      </c>
      <c r="BE92" s="70" t="s">
        <v>66</v>
      </c>
      <c r="BF92" s="114" t="str">
        <f t="shared" si="14"/>
        <v>..</v>
      </c>
      <c r="BG92" s="73"/>
      <c r="BH92" s="73"/>
      <c r="BI92" s="71" t="s">
        <v>66</v>
      </c>
      <c r="BJ92" s="71" t="s">
        <v>66</v>
      </c>
      <c r="BK92" s="71" t="s">
        <v>66</v>
      </c>
      <c r="BL92" s="116" t="s">
        <v>66</v>
      </c>
    </row>
    <row r="93" spans="1:64" s="13" customFormat="1" x14ac:dyDescent="0.2">
      <c r="A93" s="13" t="str">
        <f t="shared" si="9"/>
        <v>1989Q4</v>
      </c>
      <c r="B93" s="11">
        <f>B92</f>
        <v>1989</v>
      </c>
      <c r="C93" s="11" t="s">
        <v>4</v>
      </c>
      <c r="D93" s="43">
        <v>1515</v>
      </c>
      <c r="E93" s="43">
        <v>1533</v>
      </c>
      <c r="F93" s="87">
        <f t="shared" si="10"/>
        <v>3048</v>
      </c>
      <c r="G93" s="41">
        <v>959722</v>
      </c>
      <c r="H93" s="41">
        <v>1111056</v>
      </c>
      <c r="I93" s="93">
        <f t="shared" si="16"/>
        <v>151334</v>
      </c>
      <c r="J93" s="95">
        <f t="shared" si="15"/>
        <v>1.109908662881697</v>
      </c>
      <c r="K93" s="95">
        <f t="shared" si="17"/>
        <v>0.95718483663960008</v>
      </c>
      <c r="L93" s="42" t="s">
        <v>66</v>
      </c>
      <c r="M93" s="42" t="s">
        <v>66</v>
      </c>
      <c r="N93" s="42" t="s">
        <v>67</v>
      </c>
      <c r="O93" s="42" t="s">
        <v>67</v>
      </c>
      <c r="P93" s="42" t="s">
        <v>66</v>
      </c>
      <c r="Q93" s="98">
        <v>2226</v>
      </c>
      <c r="R93" s="42" t="s">
        <v>67</v>
      </c>
      <c r="S93" s="42" t="s">
        <v>66</v>
      </c>
      <c r="T93" s="92" t="s">
        <v>66</v>
      </c>
      <c r="U93" s="42" t="s">
        <v>66</v>
      </c>
      <c r="V93" s="92" t="s">
        <v>66</v>
      </c>
      <c r="W93" s="42" t="s">
        <v>66</v>
      </c>
      <c r="X93" s="92" t="s">
        <v>66</v>
      </c>
      <c r="Y93" s="92" t="s">
        <v>66</v>
      </c>
      <c r="Z93" s="92" t="s">
        <v>66</v>
      </c>
      <c r="AA93" s="52">
        <v>337</v>
      </c>
      <c r="AB93" s="52">
        <v>1</v>
      </c>
      <c r="AC93" s="105">
        <f t="shared" si="11"/>
        <v>2564</v>
      </c>
      <c r="AD93" s="42" t="s">
        <v>66</v>
      </c>
      <c r="AE93" s="48" t="s">
        <v>67</v>
      </c>
      <c r="AF93" s="49" t="str">
        <f t="shared" si="12"/>
        <v>..</v>
      </c>
      <c r="AG93" s="36"/>
      <c r="AH93" s="32"/>
      <c r="AI93" s="108"/>
      <c r="AJ93" s="28"/>
      <c r="AK93" s="25"/>
      <c r="AL93" s="29"/>
      <c r="AM93" s="21"/>
      <c r="AN93" s="19">
        <v>45</v>
      </c>
      <c r="AO93" s="19">
        <v>50</v>
      </c>
      <c r="AP93" s="106">
        <f t="shared" si="8"/>
        <v>95</v>
      </c>
      <c r="AQ93" s="20">
        <v>51986</v>
      </c>
      <c r="AR93" s="20">
        <v>58226</v>
      </c>
      <c r="AS93" s="118">
        <f t="shared" si="18"/>
        <v>0.87013977128335451</v>
      </c>
      <c r="AT93" s="118">
        <f t="shared" si="19"/>
        <v>0.74237246977607407</v>
      </c>
      <c r="AU93" s="19" t="s">
        <v>66</v>
      </c>
      <c r="AV93" s="19" t="s">
        <v>66</v>
      </c>
      <c r="AW93" s="19" t="s">
        <v>67</v>
      </c>
      <c r="AX93" s="19" t="s">
        <v>66</v>
      </c>
      <c r="AY93" s="22">
        <v>634</v>
      </c>
      <c r="AZ93" s="22" t="s">
        <v>67</v>
      </c>
      <c r="BA93" s="19" t="s">
        <v>67</v>
      </c>
      <c r="BB93" s="106">
        <f t="shared" si="13"/>
        <v>634</v>
      </c>
      <c r="BC93" s="21"/>
      <c r="BD93" s="70" t="s">
        <v>66</v>
      </c>
      <c r="BE93" s="70" t="s">
        <v>66</v>
      </c>
      <c r="BF93" s="114" t="str">
        <f t="shared" si="14"/>
        <v>..</v>
      </c>
      <c r="BG93" s="73"/>
      <c r="BH93" s="73"/>
      <c r="BI93" s="71" t="s">
        <v>66</v>
      </c>
      <c r="BJ93" s="71" t="s">
        <v>66</v>
      </c>
      <c r="BK93" s="71" t="s">
        <v>66</v>
      </c>
      <c r="BL93" s="116" t="s">
        <v>66</v>
      </c>
    </row>
    <row r="94" spans="1:64" s="13" customFormat="1" x14ac:dyDescent="0.2">
      <c r="A94" s="13" t="str">
        <f t="shared" si="9"/>
        <v>1990Q1</v>
      </c>
      <c r="B94" s="11">
        <v>1990</v>
      </c>
      <c r="C94" s="63" t="s">
        <v>1</v>
      </c>
      <c r="D94" s="43">
        <v>1267</v>
      </c>
      <c r="E94" s="43">
        <v>2060</v>
      </c>
      <c r="F94" s="87">
        <f t="shared" si="10"/>
        <v>3327</v>
      </c>
      <c r="G94" s="41">
        <v>965392</v>
      </c>
      <c r="H94" s="41">
        <v>1111252</v>
      </c>
      <c r="I94" s="93">
        <f t="shared" si="16"/>
        <v>145860</v>
      </c>
      <c r="J94" s="95">
        <f t="shared" si="15"/>
        <v>1.1787331981125135</v>
      </c>
      <c r="K94" s="95">
        <f t="shared" si="17"/>
        <v>1.0187523644255962</v>
      </c>
      <c r="L94" s="42" t="s">
        <v>66</v>
      </c>
      <c r="M94" s="42" t="s">
        <v>66</v>
      </c>
      <c r="N94" s="42" t="s">
        <v>67</v>
      </c>
      <c r="O94" s="42" t="s">
        <v>67</v>
      </c>
      <c r="P94" s="42" t="s">
        <v>66</v>
      </c>
      <c r="Q94" s="98">
        <v>2514</v>
      </c>
      <c r="R94" s="42" t="s">
        <v>67</v>
      </c>
      <c r="S94" s="42" t="s">
        <v>66</v>
      </c>
      <c r="T94" s="92" t="s">
        <v>66</v>
      </c>
      <c r="U94" s="42" t="s">
        <v>66</v>
      </c>
      <c r="V94" s="92" t="s">
        <v>66</v>
      </c>
      <c r="W94" s="50">
        <v>1851</v>
      </c>
      <c r="X94" s="92" t="s">
        <v>66</v>
      </c>
      <c r="Y94" s="102">
        <v>663</v>
      </c>
      <c r="Z94" s="92" t="s">
        <v>66</v>
      </c>
      <c r="AA94" s="52">
        <v>427</v>
      </c>
      <c r="AB94" s="52">
        <v>1</v>
      </c>
      <c r="AC94" s="105">
        <f t="shared" si="11"/>
        <v>2942</v>
      </c>
      <c r="AD94" s="42" t="s">
        <v>66</v>
      </c>
      <c r="AE94" s="48" t="s">
        <v>67</v>
      </c>
      <c r="AF94" s="49" t="str">
        <f t="shared" si="12"/>
        <v>..</v>
      </c>
      <c r="AG94" s="36"/>
      <c r="AH94" s="32"/>
      <c r="AI94" s="108"/>
      <c r="AJ94" s="28"/>
      <c r="AK94" s="25"/>
      <c r="AL94" s="29"/>
      <c r="AM94" s="21"/>
      <c r="AN94" s="19">
        <v>60</v>
      </c>
      <c r="AO94" s="19">
        <v>53</v>
      </c>
      <c r="AP94" s="106">
        <f t="shared" si="8"/>
        <v>113</v>
      </c>
      <c r="AQ94" s="20">
        <v>51852</v>
      </c>
      <c r="AR94" s="20">
        <v>59563</v>
      </c>
      <c r="AS94" s="118">
        <f t="shared" si="18"/>
        <v>0.83775481709019817</v>
      </c>
      <c r="AT94" s="118">
        <f t="shared" si="19"/>
        <v>0.71976967370441458</v>
      </c>
      <c r="AU94" s="19" t="s">
        <v>66</v>
      </c>
      <c r="AV94" s="19" t="s">
        <v>66</v>
      </c>
      <c r="AW94" s="19" t="s">
        <v>67</v>
      </c>
      <c r="AX94" s="19" t="s">
        <v>66</v>
      </c>
      <c r="AY94" s="22">
        <v>721</v>
      </c>
      <c r="AZ94" s="22" t="s">
        <v>67</v>
      </c>
      <c r="BA94" s="19" t="s">
        <v>67</v>
      </c>
      <c r="BB94" s="106">
        <f t="shared" si="13"/>
        <v>721</v>
      </c>
      <c r="BC94" s="21"/>
      <c r="BD94" s="70" t="s">
        <v>66</v>
      </c>
      <c r="BE94" s="70" t="s">
        <v>66</v>
      </c>
      <c r="BF94" s="114" t="str">
        <f t="shared" si="14"/>
        <v>..</v>
      </c>
      <c r="BG94" s="73"/>
      <c r="BH94" s="73"/>
      <c r="BI94" s="71" t="s">
        <v>66</v>
      </c>
      <c r="BJ94" s="71" t="s">
        <v>66</v>
      </c>
      <c r="BK94" s="71" t="s">
        <v>66</v>
      </c>
      <c r="BL94" s="116" t="s">
        <v>66</v>
      </c>
    </row>
    <row r="95" spans="1:64" s="13" customFormat="1" x14ac:dyDescent="0.2">
      <c r="A95" s="13" t="str">
        <f t="shared" si="9"/>
        <v>1990Q2</v>
      </c>
      <c r="B95" s="11">
        <f>B94</f>
        <v>1990</v>
      </c>
      <c r="C95" s="11" t="s">
        <v>2</v>
      </c>
      <c r="D95" s="43">
        <v>1286</v>
      </c>
      <c r="E95" s="43">
        <v>2070</v>
      </c>
      <c r="F95" s="87">
        <f t="shared" si="10"/>
        <v>3356</v>
      </c>
      <c r="G95" s="41">
        <v>950751</v>
      </c>
      <c r="H95" s="41">
        <v>1124231</v>
      </c>
      <c r="I95" s="93">
        <f t="shared" si="16"/>
        <v>173480</v>
      </c>
      <c r="J95" s="95">
        <f t="shared" si="15"/>
        <v>1.228602253343051</v>
      </c>
      <c r="K95" s="95">
        <f t="shared" si="17"/>
        <v>1.0584546858652235</v>
      </c>
      <c r="L95" s="42" t="s">
        <v>66</v>
      </c>
      <c r="M95" s="42" t="s">
        <v>66</v>
      </c>
      <c r="N95" s="42" t="s">
        <v>67</v>
      </c>
      <c r="O95" s="42" t="s">
        <v>67</v>
      </c>
      <c r="P95" s="42" t="s">
        <v>66</v>
      </c>
      <c r="Q95" s="98">
        <v>2804</v>
      </c>
      <c r="R95" s="42" t="s">
        <v>67</v>
      </c>
      <c r="S95" s="42" t="s">
        <v>66</v>
      </c>
      <c r="T95" s="92" t="s">
        <v>66</v>
      </c>
      <c r="U95" s="42" t="s">
        <v>66</v>
      </c>
      <c r="V95" s="92" t="s">
        <v>66</v>
      </c>
      <c r="W95" s="50">
        <v>2002</v>
      </c>
      <c r="X95" s="92" t="s">
        <v>66</v>
      </c>
      <c r="Y95" s="102">
        <v>802</v>
      </c>
      <c r="Z95" s="92" t="s">
        <v>66</v>
      </c>
      <c r="AA95" s="52">
        <v>423</v>
      </c>
      <c r="AB95" s="52">
        <v>1</v>
      </c>
      <c r="AC95" s="105">
        <f t="shared" si="11"/>
        <v>3228</v>
      </c>
      <c r="AD95" s="42" t="s">
        <v>66</v>
      </c>
      <c r="AE95" s="48" t="s">
        <v>67</v>
      </c>
      <c r="AF95" s="49" t="str">
        <f t="shared" si="12"/>
        <v>..</v>
      </c>
      <c r="AG95" s="36"/>
      <c r="AH95" s="32"/>
      <c r="AI95" s="108"/>
      <c r="AJ95" s="28"/>
      <c r="AK95" s="25"/>
      <c r="AL95" s="29"/>
      <c r="AM95" s="21"/>
      <c r="AN95" s="19">
        <v>56</v>
      </c>
      <c r="AO95" s="19">
        <v>48</v>
      </c>
      <c r="AP95" s="106">
        <f t="shared" si="8"/>
        <v>104</v>
      </c>
      <c r="AQ95" s="20">
        <v>51785</v>
      </c>
      <c r="AR95" s="20">
        <v>61087</v>
      </c>
      <c r="AS95" s="118">
        <f t="shared" si="18"/>
        <v>0.83406518464731305</v>
      </c>
      <c r="AT95" s="118">
        <f t="shared" si="19"/>
        <v>0.71817836170841964</v>
      </c>
      <c r="AU95" s="19" t="s">
        <v>66</v>
      </c>
      <c r="AV95" s="19" t="s">
        <v>66</v>
      </c>
      <c r="AW95" s="19" t="s">
        <v>67</v>
      </c>
      <c r="AX95" s="19" t="s">
        <v>66</v>
      </c>
      <c r="AY95" s="22">
        <v>1146</v>
      </c>
      <c r="AZ95" s="22" t="s">
        <v>67</v>
      </c>
      <c r="BA95" s="19" t="s">
        <v>67</v>
      </c>
      <c r="BB95" s="106">
        <f t="shared" si="13"/>
        <v>1146</v>
      </c>
      <c r="BC95" s="21"/>
      <c r="BD95" s="70" t="s">
        <v>66</v>
      </c>
      <c r="BE95" s="70" t="s">
        <v>66</v>
      </c>
      <c r="BF95" s="114" t="str">
        <f t="shared" si="14"/>
        <v>..</v>
      </c>
      <c r="BG95" s="73"/>
      <c r="BH95" s="73"/>
      <c r="BI95" s="71" t="s">
        <v>66</v>
      </c>
      <c r="BJ95" s="71" t="s">
        <v>66</v>
      </c>
      <c r="BK95" s="71" t="s">
        <v>66</v>
      </c>
      <c r="BL95" s="116" t="s">
        <v>66</v>
      </c>
    </row>
    <row r="96" spans="1:64" s="13" customFormat="1" x14ac:dyDescent="0.2">
      <c r="A96" s="13" t="str">
        <f t="shared" si="9"/>
        <v>1990Q3</v>
      </c>
      <c r="B96" s="11">
        <f>B95</f>
        <v>1990</v>
      </c>
      <c r="C96" s="11" t="s">
        <v>3</v>
      </c>
      <c r="D96" s="43">
        <v>985</v>
      </c>
      <c r="E96" s="43">
        <v>2316</v>
      </c>
      <c r="F96" s="87">
        <f t="shared" si="10"/>
        <v>3301</v>
      </c>
      <c r="G96" s="41">
        <v>975591</v>
      </c>
      <c r="H96" s="41">
        <v>1131823</v>
      </c>
      <c r="I96" s="93">
        <f t="shared" si="16"/>
        <v>156232</v>
      </c>
      <c r="J96" s="95">
        <f t="shared" si="15"/>
        <v>1.3534621711892854</v>
      </c>
      <c r="K96" s="95">
        <f t="shared" si="17"/>
        <v>1.1639970149800307</v>
      </c>
      <c r="L96" s="42" t="s">
        <v>66</v>
      </c>
      <c r="M96" s="42" t="s">
        <v>66</v>
      </c>
      <c r="N96" s="42" t="s">
        <v>67</v>
      </c>
      <c r="O96" s="42" t="s">
        <v>67</v>
      </c>
      <c r="P96" s="42" t="s">
        <v>66</v>
      </c>
      <c r="Q96" s="98">
        <v>3018</v>
      </c>
      <c r="R96" s="42" t="s">
        <v>67</v>
      </c>
      <c r="S96" s="42" t="s">
        <v>66</v>
      </c>
      <c r="T96" s="92" t="s">
        <v>66</v>
      </c>
      <c r="U96" s="42" t="s">
        <v>66</v>
      </c>
      <c r="V96" s="92" t="s">
        <v>66</v>
      </c>
      <c r="W96" s="50">
        <v>2073</v>
      </c>
      <c r="X96" s="92" t="s">
        <v>66</v>
      </c>
      <c r="Y96" s="102">
        <v>945</v>
      </c>
      <c r="Z96" s="92" t="s">
        <v>66</v>
      </c>
      <c r="AA96" s="52">
        <v>529</v>
      </c>
      <c r="AB96" s="52">
        <v>0</v>
      </c>
      <c r="AC96" s="105">
        <f t="shared" si="11"/>
        <v>3547</v>
      </c>
      <c r="AD96" s="42" t="s">
        <v>66</v>
      </c>
      <c r="AE96" s="48" t="s">
        <v>67</v>
      </c>
      <c r="AF96" s="49" t="str">
        <f t="shared" si="12"/>
        <v>..</v>
      </c>
      <c r="AG96" s="36"/>
      <c r="AH96" s="32"/>
      <c r="AI96" s="108"/>
      <c r="AJ96" s="28"/>
      <c r="AK96" s="25"/>
      <c r="AL96" s="29"/>
      <c r="AM96" s="21"/>
      <c r="AN96" s="19">
        <v>62</v>
      </c>
      <c r="AO96" s="19">
        <v>49</v>
      </c>
      <c r="AP96" s="106">
        <f t="shared" si="8"/>
        <v>111</v>
      </c>
      <c r="AQ96" s="20">
        <v>52812</v>
      </c>
      <c r="AR96" s="20">
        <v>61227</v>
      </c>
      <c r="AS96" s="118">
        <f t="shared" si="18"/>
        <v>0.81176385923669248</v>
      </c>
      <c r="AT96" s="118">
        <f t="shared" si="19"/>
        <v>0.70469756729403632</v>
      </c>
      <c r="AU96" s="19" t="s">
        <v>66</v>
      </c>
      <c r="AV96" s="19" t="s">
        <v>66</v>
      </c>
      <c r="AW96" s="19" t="s">
        <v>67</v>
      </c>
      <c r="AX96" s="19" t="s">
        <v>66</v>
      </c>
      <c r="AY96" s="22">
        <v>1111</v>
      </c>
      <c r="AZ96" s="22" t="s">
        <v>67</v>
      </c>
      <c r="BA96" s="19" t="s">
        <v>67</v>
      </c>
      <c r="BB96" s="106">
        <f t="shared" si="13"/>
        <v>1111</v>
      </c>
      <c r="BC96" s="21"/>
      <c r="BD96" s="70" t="s">
        <v>66</v>
      </c>
      <c r="BE96" s="70" t="s">
        <v>66</v>
      </c>
      <c r="BF96" s="114" t="str">
        <f t="shared" si="14"/>
        <v>..</v>
      </c>
      <c r="BG96" s="73"/>
      <c r="BH96" s="73"/>
      <c r="BI96" s="71" t="s">
        <v>66</v>
      </c>
      <c r="BJ96" s="71" t="s">
        <v>66</v>
      </c>
      <c r="BK96" s="71" t="s">
        <v>66</v>
      </c>
      <c r="BL96" s="116" t="s">
        <v>66</v>
      </c>
    </row>
    <row r="97" spans="1:64" s="13" customFormat="1" x14ac:dyDescent="0.2">
      <c r="A97" s="13" t="str">
        <f t="shared" si="9"/>
        <v>1990Q4</v>
      </c>
      <c r="B97" s="11">
        <f>B96</f>
        <v>1990</v>
      </c>
      <c r="C97" s="11" t="s">
        <v>4</v>
      </c>
      <c r="D97" s="43">
        <v>2439</v>
      </c>
      <c r="E97" s="43">
        <v>2628</v>
      </c>
      <c r="F97" s="87">
        <f t="shared" si="10"/>
        <v>5067</v>
      </c>
      <c r="G97" s="41">
        <v>990041</v>
      </c>
      <c r="H97" s="41">
        <v>1131139</v>
      </c>
      <c r="I97" s="93">
        <f t="shared" si="16"/>
        <v>141098</v>
      </c>
      <c r="J97" s="95">
        <f t="shared" si="15"/>
        <v>1.5509399694727284</v>
      </c>
      <c r="K97" s="95">
        <f t="shared" si="17"/>
        <v>1.3383291337339902</v>
      </c>
      <c r="L97" s="42" t="s">
        <v>66</v>
      </c>
      <c r="M97" s="42" t="s">
        <v>66</v>
      </c>
      <c r="N97" s="42" t="s">
        <v>67</v>
      </c>
      <c r="O97" s="42" t="s">
        <v>67</v>
      </c>
      <c r="P97" s="42" t="s">
        <v>66</v>
      </c>
      <c r="Q97" s="98">
        <v>3722</v>
      </c>
      <c r="R97" s="42" t="s">
        <v>67</v>
      </c>
      <c r="S97" s="42" t="s">
        <v>66</v>
      </c>
      <c r="T97" s="92" t="s">
        <v>66</v>
      </c>
      <c r="U97" s="42" t="s">
        <v>66</v>
      </c>
      <c r="V97" s="92" t="s">
        <v>66</v>
      </c>
      <c r="W97" s="50">
        <v>2561</v>
      </c>
      <c r="X97" s="92" t="s">
        <v>66</v>
      </c>
      <c r="Y97" s="102">
        <v>1161</v>
      </c>
      <c r="Z97" s="92" t="s">
        <v>66</v>
      </c>
      <c r="AA97" s="52">
        <v>548</v>
      </c>
      <c r="AB97" s="52">
        <v>0</v>
      </c>
      <c r="AC97" s="105">
        <f t="shared" si="11"/>
        <v>4270</v>
      </c>
      <c r="AD97" s="42" t="s">
        <v>66</v>
      </c>
      <c r="AE97" s="48" t="s">
        <v>67</v>
      </c>
      <c r="AF97" s="49" t="str">
        <f t="shared" si="12"/>
        <v>..</v>
      </c>
      <c r="AG97" s="36"/>
      <c r="AH97" s="32"/>
      <c r="AI97" s="108"/>
      <c r="AJ97" s="28"/>
      <c r="AK97" s="25"/>
      <c r="AL97" s="29"/>
      <c r="AM97" s="21"/>
      <c r="AN97" s="19">
        <v>73</v>
      </c>
      <c r="AO97" s="19">
        <v>69</v>
      </c>
      <c r="AP97" s="106">
        <f t="shared" si="8"/>
        <v>142</v>
      </c>
      <c r="AQ97" s="20">
        <v>53584</v>
      </c>
      <c r="AR97" s="20">
        <v>60864</v>
      </c>
      <c r="AS97" s="118">
        <f t="shared" si="18"/>
        <v>0.89509743706941292</v>
      </c>
      <c r="AT97" s="118">
        <f t="shared" si="19"/>
        <v>0.77448803457182758</v>
      </c>
      <c r="AU97" s="19" t="s">
        <v>66</v>
      </c>
      <c r="AV97" s="19" t="s">
        <v>66</v>
      </c>
      <c r="AW97" s="19" t="s">
        <v>67</v>
      </c>
      <c r="AX97" s="19" t="s">
        <v>66</v>
      </c>
      <c r="AY97" s="22">
        <v>1372</v>
      </c>
      <c r="AZ97" s="22" t="s">
        <v>67</v>
      </c>
      <c r="BA97" s="19" t="s">
        <v>67</v>
      </c>
      <c r="BB97" s="106">
        <f t="shared" si="13"/>
        <v>1372</v>
      </c>
      <c r="BC97" s="21"/>
      <c r="BD97" s="70" t="s">
        <v>66</v>
      </c>
      <c r="BE97" s="70" t="s">
        <v>66</v>
      </c>
      <c r="BF97" s="114" t="str">
        <f t="shared" si="14"/>
        <v>..</v>
      </c>
      <c r="BG97" s="73"/>
      <c r="BH97" s="73"/>
      <c r="BI97" s="71" t="s">
        <v>66</v>
      </c>
      <c r="BJ97" s="71" t="s">
        <v>66</v>
      </c>
      <c r="BK97" s="71" t="s">
        <v>66</v>
      </c>
      <c r="BL97" s="116" t="s">
        <v>66</v>
      </c>
    </row>
    <row r="98" spans="1:64" s="13" customFormat="1" x14ac:dyDescent="0.2">
      <c r="A98" s="13" t="str">
        <f t="shared" si="9"/>
        <v>1991Q1</v>
      </c>
      <c r="B98" s="11">
        <v>1991</v>
      </c>
      <c r="C98" s="63" t="s">
        <v>1</v>
      </c>
      <c r="D98" s="43">
        <v>2076</v>
      </c>
      <c r="E98" s="43">
        <v>3364</v>
      </c>
      <c r="F98" s="87">
        <f t="shared" si="10"/>
        <v>5440</v>
      </c>
      <c r="G98" s="41">
        <v>993476</v>
      </c>
      <c r="H98" s="41">
        <v>1125601</v>
      </c>
      <c r="I98" s="93">
        <f t="shared" si="16"/>
        <v>132125</v>
      </c>
      <c r="J98" s="95">
        <f t="shared" si="15"/>
        <v>1.7559712511371894</v>
      </c>
      <c r="K98" s="95">
        <f t="shared" si="17"/>
        <v>1.5213634834650107</v>
      </c>
      <c r="L98" s="42" t="s">
        <v>66</v>
      </c>
      <c r="M98" s="42" t="s">
        <v>66</v>
      </c>
      <c r="N98" s="42" t="s">
        <v>67</v>
      </c>
      <c r="O98" s="42" t="s">
        <v>67</v>
      </c>
      <c r="P98" s="42" t="s">
        <v>66</v>
      </c>
      <c r="Q98" s="98">
        <v>4835</v>
      </c>
      <c r="R98" s="42" t="s">
        <v>67</v>
      </c>
      <c r="S98" s="42" t="s">
        <v>66</v>
      </c>
      <c r="T98" s="92" t="s">
        <v>66</v>
      </c>
      <c r="U98" s="42" t="s">
        <v>66</v>
      </c>
      <c r="V98" s="92" t="s">
        <v>66</v>
      </c>
      <c r="W98" s="50">
        <v>3308</v>
      </c>
      <c r="X98" s="92" t="s">
        <v>66</v>
      </c>
      <c r="Y98" s="102">
        <v>1527</v>
      </c>
      <c r="Z98" s="92" t="s">
        <v>66</v>
      </c>
      <c r="AA98" s="52">
        <v>600</v>
      </c>
      <c r="AB98" s="52">
        <v>1</v>
      </c>
      <c r="AC98" s="105">
        <f t="shared" si="11"/>
        <v>5436</v>
      </c>
      <c r="AD98" s="42" t="s">
        <v>66</v>
      </c>
      <c r="AE98" s="48" t="s">
        <v>67</v>
      </c>
      <c r="AF98" s="49" t="str">
        <f t="shared" si="12"/>
        <v>..</v>
      </c>
      <c r="AG98" s="36"/>
      <c r="AH98" s="32"/>
      <c r="AI98" s="108"/>
      <c r="AJ98" s="28"/>
      <c r="AK98" s="25"/>
      <c r="AL98" s="29"/>
      <c r="AM98" s="21"/>
      <c r="AN98" s="19">
        <v>66</v>
      </c>
      <c r="AO98" s="19">
        <v>66</v>
      </c>
      <c r="AP98" s="106">
        <f t="shared" si="8"/>
        <v>132</v>
      </c>
      <c r="AQ98" s="20">
        <v>53874</v>
      </c>
      <c r="AR98" s="20">
        <v>61330</v>
      </c>
      <c r="AS98" s="118">
        <f t="shared" si="18"/>
        <v>0.92240220697460562</v>
      </c>
      <c r="AT98" s="118">
        <f t="shared" si="19"/>
        <v>0.7999738249873215</v>
      </c>
      <c r="AU98" s="19" t="s">
        <v>66</v>
      </c>
      <c r="AV98" s="19" t="s">
        <v>66</v>
      </c>
      <c r="AW98" s="19" t="s">
        <v>67</v>
      </c>
      <c r="AX98" s="19" t="s">
        <v>66</v>
      </c>
      <c r="AY98" s="22">
        <v>1811</v>
      </c>
      <c r="AZ98" s="22" t="s">
        <v>67</v>
      </c>
      <c r="BA98" s="19" t="s">
        <v>67</v>
      </c>
      <c r="BB98" s="106">
        <f t="shared" si="13"/>
        <v>1811</v>
      </c>
      <c r="BC98" s="21"/>
      <c r="BD98" s="70" t="s">
        <v>66</v>
      </c>
      <c r="BE98" s="70" t="s">
        <v>66</v>
      </c>
      <c r="BF98" s="114" t="str">
        <f t="shared" si="14"/>
        <v>..</v>
      </c>
      <c r="BG98" s="73"/>
      <c r="BH98" s="73"/>
      <c r="BI98" s="71" t="s">
        <v>66</v>
      </c>
      <c r="BJ98" s="71" t="s">
        <v>66</v>
      </c>
      <c r="BK98" s="71" t="s">
        <v>66</v>
      </c>
      <c r="BL98" s="116" t="s">
        <v>66</v>
      </c>
    </row>
    <row r="99" spans="1:64" s="13" customFormat="1" x14ac:dyDescent="0.2">
      <c r="A99" s="13" t="str">
        <f t="shared" si="9"/>
        <v>1991Q2</v>
      </c>
      <c r="B99" s="11">
        <f>B98</f>
        <v>1991</v>
      </c>
      <c r="C99" s="11" t="s">
        <v>2</v>
      </c>
      <c r="D99" s="43">
        <v>2155</v>
      </c>
      <c r="E99" s="43">
        <v>3460</v>
      </c>
      <c r="F99" s="87">
        <f t="shared" si="10"/>
        <v>5615</v>
      </c>
      <c r="G99" s="41">
        <v>948000</v>
      </c>
      <c r="H99" s="41">
        <v>1130088</v>
      </c>
      <c r="I99" s="93">
        <f t="shared" si="16"/>
        <v>182088</v>
      </c>
      <c r="J99" s="95">
        <f t="shared" si="15"/>
        <v>1.9884784346887774</v>
      </c>
      <c r="K99" s="95">
        <f t="shared" si="17"/>
        <v>1.7193627036033541</v>
      </c>
      <c r="L99" s="42" t="s">
        <v>66</v>
      </c>
      <c r="M99" s="42" t="s">
        <v>66</v>
      </c>
      <c r="N99" s="42" t="s">
        <v>67</v>
      </c>
      <c r="O99" s="42" t="s">
        <v>67</v>
      </c>
      <c r="P99" s="42" t="s">
        <v>66</v>
      </c>
      <c r="Q99" s="98">
        <v>5337</v>
      </c>
      <c r="R99" s="42" t="s">
        <v>67</v>
      </c>
      <c r="S99" s="42" t="s">
        <v>66</v>
      </c>
      <c r="T99" s="92" t="s">
        <v>66</v>
      </c>
      <c r="U99" s="42" t="s">
        <v>66</v>
      </c>
      <c r="V99" s="92" t="s">
        <v>66</v>
      </c>
      <c r="W99" s="50">
        <v>3537</v>
      </c>
      <c r="X99" s="92" t="s">
        <v>66</v>
      </c>
      <c r="Y99" s="102">
        <v>1800</v>
      </c>
      <c r="Z99" s="92" t="s">
        <v>66</v>
      </c>
      <c r="AA99" s="52">
        <v>718</v>
      </c>
      <c r="AB99" s="52">
        <v>3</v>
      </c>
      <c r="AC99" s="105">
        <f t="shared" si="11"/>
        <v>6058</v>
      </c>
      <c r="AD99" s="42" t="s">
        <v>66</v>
      </c>
      <c r="AE99" s="48" t="s">
        <v>67</v>
      </c>
      <c r="AF99" s="49" t="str">
        <f t="shared" si="12"/>
        <v>..</v>
      </c>
      <c r="AG99" s="36"/>
      <c r="AH99" s="32"/>
      <c r="AI99" s="108"/>
      <c r="AJ99" s="28"/>
      <c r="AK99" s="25"/>
      <c r="AL99" s="29"/>
      <c r="AM99" s="21"/>
      <c r="AN99" s="19">
        <v>93</v>
      </c>
      <c r="AO99" s="19">
        <v>96</v>
      </c>
      <c r="AP99" s="106">
        <f t="shared" si="8"/>
        <v>189</v>
      </c>
      <c r="AQ99" s="20">
        <v>53322</v>
      </c>
      <c r="AR99" s="20">
        <v>62313</v>
      </c>
      <c r="AS99" s="118">
        <f t="shared" si="18"/>
        <v>1.0749466272145025</v>
      </c>
      <c r="AT99" s="118">
        <f t="shared" si="19"/>
        <v>0.93434363987075464</v>
      </c>
      <c r="AU99" s="19" t="s">
        <v>66</v>
      </c>
      <c r="AV99" s="19" t="s">
        <v>66</v>
      </c>
      <c r="AW99" s="19" t="s">
        <v>67</v>
      </c>
      <c r="AX99" s="19" t="s">
        <v>66</v>
      </c>
      <c r="AY99" s="22">
        <v>1863</v>
      </c>
      <c r="AZ99" s="22" t="s">
        <v>67</v>
      </c>
      <c r="BA99" s="19" t="s">
        <v>67</v>
      </c>
      <c r="BB99" s="106">
        <f t="shared" si="13"/>
        <v>1863</v>
      </c>
      <c r="BC99" s="21"/>
      <c r="BD99" s="70" t="s">
        <v>66</v>
      </c>
      <c r="BE99" s="70" t="s">
        <v>66</v>
      </c>
      <c r="BF99" s="114" t="str">
        <f t="shared" si="14"/>
        <v>..</v>
      </c>
      <c r="BG99" s="73"/>
      <c r="BH99" s="73"/>
      <c r="BI99" s="71" t="s">
        <v>66</v>
      </c>
      <c r="BJ99" s="71" t="s">
        <v>66</v>
      </c>
      <c r="BK99" s="71" t="s">
        <v>66</v>
      </c>
      <c r="BL99" s="116" t="s">
        <v>66</v>
      </c>
    </row>
    <row r="100" spans="1:64" s="13" customFormat="1" x14ac:dyDescent="0.2">
      <c r="A100" s="13" t="str">
        <f t="shared" si="9"/>
        <v>1991Q3</v>
      </c>
      <c r="B100" s="11">
        <f>B99</f>
        <v>1991</v>
      </c>
      <c r="C100" s="11" t="s">
        <v>3</v>
      </c>
      <c r="D100" s="43">
        <v>1368</v>
      </c>
      <c r="E100" s="43">
        <v>3332</v>
      </c>
      <c r="F100" s="87">
        <f t="shared" si="10"/>
        <v>4700</v>
      </c>
      <c r="G100" s="41">
        <v>948538</v>
      </c>
      <c r="H100" s="41">
        <v>1128642</v>
      </c>
      <c r="I100" s="93">
        <f t="shared" si="16"/>
        <v>180104</v>
      </c>
      <c r="J100" s="95">
        <f t="shared" si="15"/>
        <v>2.1465675099966366</v>
      </c>
      <c r="K100" s="95">
        <f t="shared" si="17"/>
        <v>1.8445034514679535</v>
      </c>
      <c r="L100" s="42" t="s">
        <v>66</v>
      </c>
      <c r="M100" s="42" t="s">
        <v>66</v>
      </c>
      <c r="N100" s="42" t="s">
        <v>67</v>
      </c>
      <c r="O100" s="42" t="s">
        <v>67</v>
      </c>
      <c r="P100" s="42" t="s">
        <v>66</v>
      </c>
      <c r="Q100" s="98">
        <v>5523</v>
      </c>
      <c r="R100" s="42" t="s">
        <v>67</v>
      </c>
      <c r="S100" s="42" t="s">
        <v>66</v>
      </c>
      <c r="T100" s="92" t="s">
        <v>66</v>
      </c>
      <c r="U100" s="42" t="s">
        <v>66</v>
      </c>
      <c r="V100" s="92" t="s">
        <v>66</v>
      </c>
      <c r="W100" s="50">
        <v>3427</v>
      </c>
      <c r="X100" s="92" t="s">
        <v>66</v>
      </c>
      <c r="Y100" s="102">
        <v>2096</v>
      </c>
      <c r="Z100" s="92" t="s">
        <v>66</v>
      </c>
      <c r="AA100" s="52">
        <v>860</v>
      </c>
      <c r="AB100" s="52">
        <v>2</v>
      </c>
      <c r="AC100" s="105">
        <f t="shared" si="11"/>
        <v>6385</v>
      </c>
      <c r="AD100" s="42" t="s">
        <v>66</v>
      </c>
      <c r="AE100" s="48" t="s">
        <v>67</v>
      </c>
      <c r="AF100" s="49" t="str">
        <f t="shared" si="12"/>
        <v>..</v>
      </c>
      <c r="AG100" s="36"/>
      <c r="AH100" s="32"/>
      <c r="AI100" s="108"/>
      <c r="AJ100" s="28"/>
      <c r="AK100" s="25"/>
      <c r="AL100" s="29"/>
      <c r="AM100" s="21"/>
      <c r="AN100" s="19">
        <v>70</v>
      </c>
      <c r="AO100" s="19">
        <v>79</v>
      </c>
      <c r="AP100" s="106">
        <f t="shared" si="8"/>
        <v>149</v>
      </c>
      <c r="AQ100" s="20">
        <v>53527</v>
      </c>
      <c r="AR100" s="20">
        <v>62715</v>
      </c>
      <c r="AS100" s="118">
        <f t="shared" si="18"/>
        <v>1.1422865328710681</v>
      </c>
      <c r="AT100" s="118">
        <f t="shared" si="19"/>
        <v>0.99020313726124687</v>
      </c>
      <c r="AU100" s="19" t="s">
        <v>66</v>
      </c>
      <c r="AV100" s="19" t="s">
        <v>66</v>
      </c>
      <c r="AW100" s="19" t="s">
        <v>67</v>
      </c>
      <c r="AX100" s="19" t="s">
        <v>66</v>
      </c>
      <c r="AY100" s="22">
        <v>1908</v>
      </c>
      <c r="AZ100" s="22" t="s">
        <v>67</v>
      </c>
      <c r="BA100" s="19" t="s">
        <v>67</v>
      </c>
      <c r="BB100" s="106">
        <f t="shared" si="13"/>
        <v>1908</v>
      </c>
      <c r="BC100" s="21"/>
      <c r="BD100" s="70" t="s">
        <v>66</v>
      </c>
      <c r="BE100" s="70" t="s">
        <v>66</v>
      </c>
      <c r="BF100" s="114" t="str">
        <f t="shared" si="14"/>
        <v>..</v>
      </c>
      <c r="BG100" s="73"/>
      <c r="BH100" s="73"/>
      <c r="BI100" s="71" t="s">
        <v>66</v>
      </c>
      <c r="BJ100" s="71" t="s">
        <v>66</v>
      </c>
      <c r="BK100" s="71" t="s">
        <v>66</v>
      </c>
      <c r="BL100" s="116" t="s">
        <v>66</v>
      </c>
    </row>
    <row r="101" spans="1:64" s="13" customFormat="1" x14ac:dyDescent="0.2">
      <c r="A101" s="13" t="str">
        <f t="shared" si="9"/>
        <v>1991Q4</v>
      </c>
      <c r="B101" s="11">
        <f>B100</f>
        <v>1991</v>
      </c>
      <c r="C101" s="11" t="s">
        <v>4</v>
      </c>
      <c r="D101" s="43">
        <v>2769</v>
      </c>
      <c r="E101" s="43">
        <v>3303</v>
      </c>
      <c r="F101" s="87">
        <f t="shared" si="10"/>
        <v>6072</v>
      </c>
      <c r="G101" s="41">
        <v>962189</v>
      </c>
      <c r="H101" s="41">
        <v>1127312</v>
      </c>
      <c r="I101" s="93">
        <f t="shared" si="16"/>
        <v>165123</v>
      </c>
      <c r="J101" s="95">
        <f t="shared" si="15"/>
        <v>2.2664433831758086</v>
      </c>
      <c r="K101" s="95">
        <f t="shared" si="17"/>
        <v>1.9351708457428924</v>
      </c>
      <c r="L101" s="42" t="s">
        <v>66</v>
      </c>
      <c r="M101" s="42" t="s">
        <v>66</v>
      </c>
      <c r="N101" s="42" t="s">
        <v>67</v>
      </c>
      <c r="O101" s="42" t="s">
        <v>67</v>
      </c>
      <c r="P101" s="42" t="s">
        <v>66</v>
      </c>
      <c r="Q101" s="98">
        <v>6937</v>
      </c>
      <c r="R101" s="42" t="s">
        <v>67</v>
      </c>
      <c r="S101" s="42" t="s">
        <v>66</v>
      </c>
      <c r="T101" s="92" t="s">
        <v>66</v>
      </c>
      <c r="U101" s="42" t="s">
        <v>66</v>
      </c>
      <c r="V101" s="92" t="s">
        <v>66</v>
      </c>
      <c r="W101" s="50">
        <v>4337</v>
      </c>
      <c r="X101" s="92" t="s">
        <v>66</v>
      </c>
      <c r="Y101" s="102">
        <v>2600</v>
      </c>
      <c r="Z101" s="92" t="s">
        <v>66</v>
      </c>
      <c r="AA101" s="52">
        <v>824</v>
      </c>
      <c r="AB101" s="52">
        <v>0</v>
      </c>
      <c r="AC101" s="105">
        <f t="shared" si="11"/>
        <v>7761</v>
      </c>
      <c r="AD101" s="42" t="s">
        <v>66</v>
      </c>
      <c r="AE101" s="48" t="s">
        <v>67</v>
      </c>
      <c r="AF101" s="49" t="str">
        <f t="shared" si="12"/>
        <v>..</v>
      </c>
      <c r="AG101" s="36"/>
      <c r="AH101" s="32"/>
      <c r="AI101" s="108"/>
      <c r="AJ101" s="28"/>
      <c r="AK101" s="25"/>
      <c r="AL101" s="29"/>
      <c r="AM101" s="21"/>
      <c r="AN101" s="19">
        <v>75</v>
      </c>
      <c r="AO101" s="19">
        <v>71</v>
      </c>
      <c r="AP101" s="106">
        <f t="shared" si="8"/>
        <v>146</v>
      </c>
      <c r="AQ101" s="20">
        <v>54609</v>
      </c>
      <c r="AR101" s="20">
        <v>62302</v>
      </c>
      <c r="AS101" s="118">
        <f t="shared" si="18"/>
        <v>1.1442795311426077</v>
      </c>
      <c r="AT101" s="118">
        <f t="shared" si="19"/>
        <v>0.99091128448483867</v>
      </c>
      <c r="AU101" s="19" t="s">
        <v>66</v>
      </c>
      <c r="AV101" s="19" t="s">
        <v>66</v>
      </c>
      <c r="AW101" s="19" t="s">
        <v>67</v>
      </c>
      <c r="AX101" s="19" t="s">
        <v>66</v>
      </c>
      <c r="AY101" s="22">
        <v>2083</v>
      </c>
      <c r="AZ101" s="22" t="s">
        <v>67</v>
      </c>
      <c r="BA101" s="19" t="s">
        <v>67</v>
      </c>
      <c r="BB101" s="106">
        <f t="shared" si="13"/>
        <v>2083</v>
      </c>
      <c r="BC101" s="21"/>
      <c r="BD101" s="70" t="s">
        <v>66</v>
      </c>
      <c r="BE101" s="70" t="s">
        <v>66</v>
      </c>
      <c r="BF101" s="114" t="str">
        <f t="shared" si="14"/>
        <v>..</v>
      </c>
      <c r="BG101" s="73"/>
      <c r="BH101" s="73"/>
      <c r="BI101" s="71" t="s">
        <v>66</v>
      </c>
      <c r="BJ101" s="71" t="s">
        <v>66</v>
      </c>
      <c r="BK101" s="71" t="s">
        <v>66</v>
      </c>
      <c r="BL101" s="116" t="s">
        <v>66</v>
      </c>
    </row>
    <row r="102" spans="1:64" s="13" customFormat="1" x14ac:dyDescent="0.2">
      <c r="A102" s="13" t="str">
        <f t="shared" si="9"/>
        <v>1992Q1</v>
      </c>
      <c r="B102" s="11">
        <v>1992</v>
      </c>
      <c r="C102" s="63" t="s">
        <v>1</v>
      </c>
      <c r="D102" s="43">
        <v>2619</v>
      </c>
      <c r="E102" s="43">
        <v>3713</v>
      </c>
      <c r="F102" s="87">
        <f t="shared" si="10"/>
        <v>6332</v>
      </c>
      <c r="G102" s="41">
        <v>949635</v>
      </c>
      <c r="H102" s="41">
        <v>1122350</v>
      </c>
      <c r="I102" s="93">
        <f t="shared" si="16"/>
        <v>172715</v>
      </c>
      <c r="J102" s="95">
        <f t="shared" si="15"/>
        <v>2.3862227382796068</v>
      </c>
      <c r="K102" s="95">
        <f t="shared" si="17"/>
        <v>2.0157075959676978</v>
      </c>
      <c r="L102" s="42" t="s">
        <v>66</v>
      </c>
      <c r="M102" s="42" t="s">
        <v>66</v>
      </c>
      <c r="N102" s="42" t="s">
        <v>67</v>
      </c>
      <c r="O102" s="42" t="s">
        <v>67</v>
      </c>
      <c r="P102" s="42" t="s">
        <v>66</v>
      </c>
      <c r="Q102" s="98">
        <v>8389</v>
      </c>
      <c r="R102" s="42" t="s">
        <v>67</v>
      </c>
      <c r="S102" s="42" t="s">
        <v>66</v>
      </c>
      <c r="T102" s="92" t="s">
        <v>66</v>
      </c>
      <c r="U102" s="42" t="s">
        <v>66</v>
      </c>
      <c r="V102" s="92" t="s">
        <v>66</v>
      </c>
      <c r="W102" s="50">
        <v>5342</v>
      </c>
      <c r="X102" s="92" t="s">
        <v>66</v>
      </c>
      <c r="Y102" s="102">
        <v>3047</v>
      </c>
      <c r="Z102" s="92" t="s">
        <v>66</v>
      </c>
      <c r="AA102" s="52">
        <v>992</v>
      </c>
      <c r="AB102" s="52">
        <v>0</v>
      </c>
      <c r="AC102" s="105">
        <f t="shared" ref="AC102:AC133" si="20">IF(AA102=":",Q102+AB102,Q102+AA102+AB102)</f>
        <v>9381</v>
      </c>
      <c r="AD102" s="42" t="s">
        <v>66</v>
      </c>
      <c r="AE102" s="48" t="s">
        <v>67</v>
      </c>
      <c r="AF102" s="49" t="str">
        <f t="shared" ref="AF102:AF133" si="21">IF(AE102=":",AD102,AD102+AE102)</f>
        <v>..</v>
      </c>
      <c r="AG102" s="36"/>
      <c r="AH102" s="32"/>
      <c r="AI102" s="108"/>
      <c r="AJ102" s="28"/>
      <c r="AK102" s="25"/>
      <c r="AL102" s="29"/>
      <c r="AM102" s="21"/>
      <c r="AN102" s="19">
        <v>61</v>
      </c>
      <c r="AO102" s="19">
        <v>73</v>
      </c>
      <c r="AP102" s="106">
        <f t="shared" si="8"/>
        <v>134</v>
      </c>
      <c r="AQ102" s="20">
        <v>53845</v>
      </c>
      <c r="AR102" s="20">
        <v>63201</v>
      </c>
      <c r="AS102" s="118">
        <f t="shared" si="18"/>
        <v>1.1481493523081425</v>
      </c>
      <c r="AT102" s="118">
        <f t="shared" si="19"/>
        <v>0.9867042401938283</v>
      </c>
      <c r="AU102" s="19" t="s">
        <v>66</v>
      </c>
      <c r="AV102" s="19" t="s">
        <v>66</v>
      </c>
      <c r="AW102" s="19" t="s">
        <v>67</v>
      </c>
      <c r="AX102" s="19" t="s">
        <v>66</v>
      </c>
      <c r="AY102" s="22">
        <v>2593</v>
      </c>
      <c r="AZ102" s="22" t="s">
        <v>67</v>
      </c>
      <c r="BA102" s="19" t="s">
        <v>67</v>
      </c>
      <c r="BB102" s="106">
        <f t="shared" si="13"/>
        <v>2593</v>
      </c>
      <c r="BC102" s="21"/>
      <c r="BD102" s="70" t="s">
        <v>66</v>
      </c>
      <c r="BE102" s="70" t="s">
        <v>66</v>
      </c>
      <c r="BF102" s="114" t="str">
        <f t="shared" si="14"/>
        <v>..</v>
      </c>
      <c r="BG102" s="73"/>
      <c r="BH102" s="73"/>
      <c r="BI102" s="71" t="s">
        <v>66</v>
      </c>
      <c r="BJ102" s="71" t="s">
        <v>66</v>
      </c>
      <c r="BK102" s="71" t="s">
        <v>66</v>
      </c>
      <c r="BL102" s="116" t="s">
        <v>66</v>
      </c>
    </row>
    <row r="103" spans="1:64" s="13" customFormat="1" x14ac:dyDescent="0.2">
      <c r="A103" s="13" t="str">
        <f t="shared" si="9"/>
        <v>1992Q2</v>
      </c>
      <c r="B103" s="11">
        <f>B102</f>
        <v>1992</v>
      </c>
      <c r="C103" s="11" t="s">
        <v>2</v>
      </c>
      <c r="D103" s="43">
        <v>2609</v>
      </c>
      <c r="E103" s="43">
        <v>3434</v>
      </c>
      <c r="F103" s="87">
        <f t="shared" si="10"/>
        <v>6043</v>
      </c>
      <c r="G103" s="41">
        <v>923938</v>
      </c>
      <c r="H103" s="41">
        <v>1114555</v>
      </c>
      <c r="I103" s="93">
        <f t="shared" si="16"/>
        <v>190617</v>
      </c>
      <c r="J103" s="95">
        <f t="shared" si="15"/>
        <v>2.4466347805406548</v>
      </c>
      <c r="K103" s="95">
        <f t="shared" si="17"/>
        <v>2.0607813421253596</v>
      </c>
      <c r="L103" s="42" t="s">
        <v>66</v>
      </c>
      <c r="M103" s="42" t="s">
        <v>66</v>
      </c>
      <c r="N103" s="42" t="s">
        <v>67</v>
      </c>
      <c r="O103" s="42" t="s">
        <v>67</v>
      </c>
      <c r="P103" s="42" t="s">
        <v>66</v>
      </c>
      <c r="Q103" s="98">
        <v>7791</v>
      </c>
      <c r="R103" s="42" t="s">
        <v>67</v>
      </c>
      <c r="S103" s="42" t="s">
        <v>66</v>
      </c>
      <c r="T103" s="92" t="s">
        <v>66</v>
      </c>
      <c r="U103" s="42" t="s">
        <v>66</v>
      </c>
      <c r="V103" s="92" t="s">
        <v>66</v>
      </c>
      <c r="W103" s="50">
        <v>4630</v>
      </c>
      <c r="X103" s="92" t="s">
        <v>66</v>
      </c>
      <c r="Y103" s="102">
        <v>3161</v>
      </c>
      <c r="Z103" s="92" t="s">
        <v>66</v>
      </c>
      <c r="AA103" s="52">
        <v>1217</v>
      </c>
      <c r="AB103" s="52">
        <v>0</v>
      </c>
      <c r="AC103" s="105">
        <f t="shared" si="20"/>
        <v>9008</v>
      </c>
      <c r="AD103" s="42" t="s">
        <v>66</v>
      </c>
      <c r="AE103" s="48" t="s">
        <v>67</v>
      </c>
      <c r="AF103" s="49" t="str">
        <f t="shared" si="21"/>
        <v>..</v>
      </c>
      <c r="AG103" s="36"/>
      <c r="AH103" s="32"/>
      <c r="AI103" s="108"/>
      <c r="AJ103" s="28"/>
      <c r="AK103" s="25"/>
      <c r="AL103" s="29"/>
      <c r="AM103" s="21"/>
      <c r="AN103" s="19">
        <v>72</v>
      </c>
      <c r="AO103" s="19">
        <v>87</v>
      </c>
      <c r="AP103" s="106">
        <f t="shared" si="8"/>
        <v>159</v>
      </c>
      <c r="AQ103" s="20">
        <v>53626</v>
      </c>
      <c r="AR103" s="20">
        <v>62680</v>
      </c>
      <c r="AS103" s="118">
        <f t="shared" si="18"/>
        <v>1.0908736729326969</v>
      </c>
      <c r="AT103" s="118">
        <f t="shared" si="19"/>
        <v>0.93743274159220091</v>
      </c>
      <c r="AU103" s="19" t="s">
        <v>66</v>
      </c>
      <c r="AV103" s="19" t="s">
        <v>66</v>
      </c>
      <c r="AW103" s="19" t="s">
        <v>67</v>
      </c>
      <c r="AX103" s="19" t="s">
        <v>66</v>
      </c>
      <c r="AY103" s="22">
        <v>2985</v>
      </c>
      <c r="AZ103" s="22" t="s">
        <v>67</v>
      </c>
      <c r="BA103" s="19" t="s">
        <v>67</v>
      </c>
      <c r="BB103" s="106">
        <f t="shared" si="13"/>
        <v>2985</v>
      </c>
      <c r="BC103" s="21"/>
      <c r="BD103" s="70" t="s">
        <v>66</v>
      </c>
      <c r="BE103" s="70" t="s">
        <v>66</v>
      </c>
      <c r="BF103" s="114" t="str">
        <f t="shared" si="14"/>
        <v>..</v>
      </c>
      <c r="BG103" s="73"/>
      <c r="BH103" s="73"/>
      <c r="BI103" s="71" t="s">
        <v>66</v>
      </c>
      <c r="BJ103" s="71" t="s">
        <v>66</v>
      </c>
      <c r="BK103" s="71" t="s">
        <v>66</v>
      </c>
      <c r="BL103" s="116" t="s">
        <v>66</v>
      </c>
    </row>
    <row r="104" spans="1:64" s="13" customFormat="1" x14ac:dyDescent="0.2">
      <c r="A104" s="13" t="str">
        <f t="shared" si="9"/>
        <v>1992Q3</v>
      </c>
      <c r="B104" s="11">
        <f>B103</f>
        <v>1992</v>
      </c>
      <c r="C104" s="11" t="s">
        <v>3</v>
      </c>
      <c r="D104" s="43">
        <v>1710</v>
      </c>
      <c r="E104" s="43">
        <v>3867</v>
      </c>
      <c r="F104" s="87">
        <f t="shared" si="10"/>
        <v>5577</v>
      </c>
      <c r="G104" s="41">
        <v>921416</v>
      </c>
      <c r="H104" s="41">
        <v>1111748</v>
      </c>
      <c r="I104" s="93">
        <f t="shared" si="16"/>
        <v>190332</v>
      </c>
      <c r="J104" s="95">
        <f t="shared" si="15"/>
        <v>2.557664289527938</v>
      </c>
      <c r="K104" s="95">
        <f t="shared" si="17"/>
        <v>2.1469336779889923</v>
      </c>
      <c r="L104" s="42" t="s">
        <v>66</v>
      </c>
      <c r="M104" s="42" t="s">
        <v>66</v>
      </c>
      <c r="N104" s="42" t="s">
        <v>67</v>
      </c>
      <c r="O104" s="42" t="s">
        <v>67</v>
      </c>
      <c r="P104" s="42" t="s">
        <v>66</v>
      </c>
      <c r="Q104" s="98">
        <v>7506</v>
      </c>
      <c r="R104" s="42" t="s">
        <v>67</v>
      </c>
      <c r="S104" s="42" t="s">
        <v>66</v>
      </c>
      <c r="T104" s="92" t="s">
        <v>66</v>
      </c>
      <c r="U104" s="42" t="s">
        <v>66</v>
      </c>
      <c r="V104" s="92" t="s">
        <v>66</v>
      </c>
      <c r="W104" s="50">
        <v>4559</v>
      </c>
      <c r="X104" s="92" t="s">
        <v>66</v>
      </c>
      <c r="Y104" s="102">
        <v>2947</v>
      </c>
      <c r="Z104" s="92" t="s">
        <v>66</v>
      </c>
      <c r="AA104" s="52">
        <v>1253</v>
      </c>
      <c r="AB104" s="52">
        <v>0</v>
      </c>
      <c r="AC104" s="105">
        <f t="shared" si="20"/>
        <v>8759</v>
      </c>
      <c r="AD104" s="42" t="s">
        <v>66</v>
      </c>
      <c r="AE104" s="48" t="s">
        <v>67</v>
      </c>
      <c r="AF104" s="49" t="str">
        <f t="shared" si="21"/>
        <v>..</v>
      </c>
      <c r="AG104" s="36"/>
      <c r="AH104" s="32"/>
      <c r="AI104" s="108"/>
      <c r="AJ104" s="28"/>
      <c r="AK104" s="25"/>
      <c r="AL104" s="29"/>
      <c r="AM104" s="21"/>
      <c r="AN104" s="19">
        <v>94</v>
      </c>
      <c r="AO104" s="19">
        <v>90</v>
      </c>
      <c r="AP104" s="106">
        <f t="shared" si="8"/>
        <v>184</v>
      </c>
      <c r="AQ104" s="20">
        <v>53848</v>
      </c>
      <c r="AR104" s="20">
        <v>62465</v>
      </c>
      <c r="AS104" s="118">
        <f t="shared" si="18"/>
        <v>1.1540883998369829</v>
      </c>
      <c r="AT104" s="118">
        <f t="shared" si="19"/>
        <v>0.99422297405125903</v>
      </c>
      <c r="AU104" s="19" t="s">
        <v>66</v>
      </c>
      <c r="AV104" s="19" t="s">
        <v>66</v>
      </c>
      <c r="AW104" s="19" t="s">
        <v>67</v>
      </c>
      <c r="AX104" s="19" t="s">
        <v>66</v>
      </c>
      <c r="AY104" s="22">
        <v>2790</v>
      </c>
      <c r="AZ104" s="22" t="s">
        <v>67</v>
      </c>
      <c r="BA104" s="19" t="s">
        <v>67</v>
      </c>
      <c r="BB104" s="106">
        <f t="shared" si="13"/>
        <v>2790</v>
      </c>
      <c r="BC104" s="21"/>
      <c r="BD104" s="70" t="s">
        <v>66</v>
      </c>
      <c r="BE104" s="70" t="s">
        <v>66</v>
      </c>
      <c r="BF104" s="114" t="str">
        <f t="shared" si="14"/>
        <v>..</v>
      </c>
      <c r="BG104" s="73"/>
      <c r="BH104" s="73"/>
      <c r="BI104" s="71" t="s">
        <v>66</v>
      </c>
      <c r="BJ104" s="71" t="s">
        <v>66</v>
      </c>
      <c r="BK104" s="71" t="s">
        <v>66</v>
      </c>
      <c r="BL104" s="116" t="s">
        <v>66</v>
      </c>
    </row>
    <row r="105" spans="1:64" s="13" customFormat="1" x14ac:dyDescent="0.2">
      <c r="A105" s="13" t="str">
        <f t="shared" si="9"/>
        <v>1992Q4</v>
      </c>
      <c r="B105" s="11">
        <f>B104</f>
        <v>1992</v>
      </c>
      <c r="C105" s="11" t="s">
        <v>4</v>
      </c>
      <c r="D105" s="43">
        <v>2796</v>
      </c>
      <c r="E105" s="43">
        <v>3677</v>
      </c>
      <c r="F105" s="87">
        <f t="shared" si="10"/>
        <v>6473</v>
      </c>
      <c r="G105" s="41">
        <v>919213</v>
      </c>
      <c r="H105" s="41">
        <v>1094326</v>
      </c>
      <c r="I105" s="93">
        <f t="shared" si="16"/>
        <v>175113</v>
      </c>
      <c r="J105" s="95">
        <f t="shared" ref="J105:J136" si="22">SUM(F102:F105)/AVERAGE(G102:G105)*100</f>
        <v>2.6304439015433196</v>
      </c>
      <c r="K105" s="95">
        <f t="shared" si="17"/>
        <v>2.1989750570506859</v>
      </c>
      <c r="L105" s="42" t="s">
        <v>66</v>
      </c>
      <c r="M105" s="42" t="s">
        <v>66</v>
      </c>
      <c r="N105" s="42" t="s">
        <v>67</v>
      </c>
      <c r="O105" s="42" t="s">
        <v>67</v>
      </c>
      <c r="P105" s="42" t="s">
        <v>66</v>
      </c>
      <c r="Q105" s="98">
        <v>8420</v>
      </c>
      <c r="R105" s="42" t="s">
        <v>67</v>
      </c>
      <c r="S105" s="42" t="s">
        <v>66</v>
      </c>
      <c r="T105" s="92" t="s">
        <v>66</v>
      </c>
      <c r="U105" s="42" t="s">
        <v>66</v>
      </c>
      <c r="V105" s="92" t="s">
        <v>66</v>
      </c>
      <c r="W105" s="50">
        <v>4994</v>
      </c>
      <c r="X105" s="92" t="s">
        <v>66</v>
      </c>
      <c r="Y105" s="102">
        <v>3426</v>
      </c>
      <c r="Z105" s="92" t="s">
        <v>66</v>
      </c>
      <c r="AA105" s="52">
        <v>1224</v>
      </c>
      <c r="AB105" s="52">
        <v>2</v>
      </c>
      <c r="AC105" s="105">
        <f t="shared" si="20"/>
        <v>9646</v>
      </c>
      <c r="AD105" s="42" t="s">
        <v>66</v>
      </c>
      <c r="AE105" s="48" t="s">
        <v>67</v>
      </c>
      <c r="AF105" s="49" t="str">
        <f t="shared" si="21"/>
        <v>..</v>
      </c>
      <c r="AG105" s="36"/>
      <c r="AH105" s="32"/>
      <c r="AI105" s="108"/>
      <c r="AJ105" s="28"/>
      <c r="AK105" s="25"/>
      <c r="AL105" s="29"/>
      <c r="AM105" s="21"/>
      <c r="AN105" s="19">
        <v>83</v>
      </c>
      <c r="AO105" s="19">
        <v>110</v>
      </c>
      <c r="AP105" s="106">
        <f t="shared" si="8"/>
        <v>193</v>
      </c>
      <c r="AQ105" s="20">
        <v>53932</v>
      </c>
      <c r="AR105" s="20">
        <v>62265</v>
      </c>
      <c r="AS105" s="118">
        <f t="shared" si="18"/>
        <v>1.2450580949682</v>
      </c>
      <c r="AT105" s="118">
        <f t="shared" si="19"/>
        <v>1.0693864195905207</v>
      </c>
      <c r="AU105" s="19" t="s">
        <v>66</v>
      </c>
      <c r="AV105" s="19" t="s">
        <v>66</v>
      </c>
      <c r="AW105" s="19" t="s">
        <v>67</v>
      </c>
      <c r="AX105" s="19" t="s">
        <v>66</v>
      </c>
      <c r="AY105" s="22">
        <v>2477</v>
      </c>
      <c r="AZ105" s="22" t="s">
        <v>67</v>
      </c>
      <c r="BA105" s="19" t="s">
        <v>67</v>
      </c>
      <c r="BB105" s="106">
        <f t="shared" si="13"/>
        <v>2477</v>
      </c>
      <c r="BC105" s="21"/>
      <c r="BD105" s="70" t="s">
        <v>66</v>
      </c>
      <c r="BE105" s="70" t="s">
        <v>66</v>
      </c>
      <c r="BF105" s="114" t="str">
        <f t="shared" si="14"/>
        <v>..</v>
      </c>
      <c r="BG105" s="73"/>
      <c r="BH105" s="73"/>
      <c r="BI105" s="71" t="s">
        <v>66</v>
      </c>
      <c r="BJ105" s="71" t="s">
        <v>66</v>
      </c>
      <c r="BK105" s="71" t="s">
        <v>66</v>
      </c>
      <c r="BL105" s="116" t="s">
        <v>66</v>
      </c>
    </row>
    <row r="106" spans="1:64" s="13" customFormat="1" x14ac:dyDescent="0.2">
      <c r="A106" s="13" t="str">
        <f t="shared" si="9"/>
        <v>1993Q1</v>
      </c>
      <c r="B106" s="11">
        <v>1993</v>
      </c>
      <c r="C106" s="63" t="s">
        <v>1</v>
      </c>
      <c r="D106" s="43">
        <v>2427</v>
      </c>
      <c r="E106" s="43">
        <v>3808</v>
      </c>
      <c r="F106" s="87">
        <f t="shared" si="10"/>
        <v>6235</v>
      </c>
      <c r="G106" s="41">
        <v>911953</v>
      </c>
      <c r="H106" s="41">
        <v>1076640</v>
      </c>
      <c r="I106" s="93">
        <f t="shared" si="16"/>
        <v>164687</v>
      </c>
      <c r="J106" s="95">
        <f t="shared" si="22"/>
        <v>2.646850826324894</v>
      </c>
      <c r="K106" s="95">
        <f t="shared" si="17"/>
        <v>2.2130099386687507</v>
      </c>
      <c r="L106" s="50">
        <v>1813</v>
      </c>
      <c r="M106" s="50">
        <v>33</v>
      </c>
      <c r="N106" s="42" t="s">
        <v>67</v>
      </c>
      <c r="O106" s="42" t="s">
        <v>67</v>
      </c>
      <c r="P106" s="51">
        <v>16</v>
      </c>
      <c r="Q106" s="98">
        <v>9435</v>
      </c>
      <c r="R106" s="42" t="s">
        <v>67</v>
      </c>
      <c r="S106" s="42" t="s">
        <v>66</v>
      </c>
      <c r="T106" s="92" t="s">
        <v>66</v>
      </c>
      <c r="U106" s="42" t="s">
        <v>66</v>
      </c>
      <c r="V106" s="92" t="s">
        <v>66</v>
      </c>
      <c r="W106" s="50">
        <v>5457</v>
      </c>
      <c r="X106" s="92" t="s">
        <v>66</v>
      </c>
      <c r="Y106" s="102">
        <v>3978</v>
      </c>
      <c r="Z106" s="92" t="s">
        <v>66</v>
      </c>
      <c r="AA106" s="52">
        <v>1506</v>
      </c>
      <c r="AB106" s="52">
        <v>1</v>
      </c>
      <c r="AC106" s="105">
        <f t="shared" si="20"/>
        <v>10942</v>
      </c>
      <c r="AD106" s="42" t="s">
        <v>66</v>
      </c>
      <c r="AE106" s="48" t="s">
        <v>67</v>
      </c>
      <c r="AF106" s="49" t="str">
        <f t="shared" si="21"/>
        <v>..</v>
      </c>
      <c r="AG106" s="36"/>
      <c r="AH106" s="32"/>
      <c r="AI106" s="108"/>
      <c r="AJ106" s="28"/>
      <c r="AK106" s="25"/>
      <c r="AL106" s="29"/>
      <c r="AM106" s="21"/>
      <c r="AN106" s="19">
        <v>70</v>
      </c>
      <c r="AO106" s="19">
        <v>91</v>
      </c>
      <c r="AP106" s="106">
        <f t="shared" si="8"/>
        <v>161</v>
      </c>
      <c r="AQ106" s="20">
        <v>53812</v>
      </c>
      <c r="AR106" s="20">
        <v>61944</v>
      </c>
      <c r="AS106" s="118">
        <f t="shared" si="18"/>
        <v>1.2954306795899972</v>
      </c>
      <c r="AT106" s="118">
        <f t="shared" si="19"/>
        <v>1.1180891423438164</v>
      </c>
      <c r="AU106" s="19" t="s">
        <v>66</v>
      </c>
      <c r="AV106" s="19" t="s">
        <v>66</v>
      </c>
      <c r="AW106" s="19" t="s">
        <v>67</v>
      </c>
      <c r="AX106" s="19" t="s">
        <v>66</v>
      </c>
      <c r="AY106" s="22">
        <v>3423</v>
      </c>
      <c r="AZ106" s="22" t="s">
        <v>67</v>
      </c>
      <c r="BA106" s="19" t="s">
        <v>67</v>
      </c>
      <c r="BB106" s="106">
        <f t="shared" si="13"/>
        <v>3423</v>
      </c>
      <c r="BC106" s="21"/>
      <c r="BD106" s="70" t="s">
        <v>66</v>
      </c>
      <c r="BE106" s="70" t="s">
        <v>66</v>
      </c>
      <c r="BF106" s="114" t="str">
        <f t="shared" si="14"/>
        <v>..</v>
      </c>
      <c r="BG106" s="73"/>
      <c r="BH106" s="73"/>
      <c r="BI106" s="71" t="s">
        <v>66</v>
      </c>
      <c r="BJ106" s="71" t="s">
        <v>66</v>
      </c>
      <c r="BK106" s="71" t="s">
        <v>66</v>
      </c>
      <c r="BL106" s="116" t="s">
        <v>66</v>
      </c>
    </row>
    <row r="107" spans="1:64" s="13" customFormat="1" x14ac:dyDescent="0.2">
      <c r="A107" s="13" t="str">
        <f t="shared" si="9"/>
        <v>1993Q2</v>
      </c>
      <c r="B107" s="11">
        <f>B106</f>
        <v>1993</v>
      </c>
      <c r="C107" s="11" t="s">
        <v>2</v>
      </c>
      <c r="D107" s="43">
        <v>2052</v>
      </c>
      <c r="E107" s="43">
        <v>3149</v>
      </c>
      <c r="F107" s="87">
        <f t="shared" si="10"/>
        <v>5201</v>
      </c>
      <c r="G107" s="41">
        <v>904382</v>
      </c>
      <c r="H107" s="41">
        <v>1071522</v>
      </c>
      <c r="I107" s="93">
        <f t="shared" si="16"/>
        <v>167140</v>
      </c>
      <c r="J107" s="95">
        <f t="shared" si="22"/>
        <v>2.5689068856023742</v>
      </c>
      <c r="K107" s="95">
        <f t="shared" si="17"/>
        <v>2.1575311949099683</v>
      </c>
      <c r="L107" s="50">
        <v>1160</v>
      </c>
      <c r="M107" s="50">
        <v>14</v>
      </c>
      <c r="N107" s="42" t="s">
        <v>67</v>
      </c>
      <c r="O107" s="42" t="s">
        <v>67</v>
      </c>
      <c r="P107" s="51">
        <v>34</v>
      </c>
      <c r="Q107" s="98">
        <v>7394</v>
      </c>
      <c r="R107" s="42" t="s">
        <v>67</v>
      </c>
      <c r="S107" s="42" t="s">
        <v>66</v>
      </c>
      <c r="T107" s="92" t="s">
        <v>66</v>
      </c>
      <c r="U107" s="42" t="s">
        <v>66</v>
      </c>
      <c r="V107" s="92" t="s">
        <v>66</v>
      </c>
      <c r="W107" s="50">
        <v>4473</v>
      </c>
      <c r="X107" s="92" t="s">
        <v>66</v>
      </c>
      <c r="Y107" s="102">
        <v>2921</v>
      </c>
      <c r="Z107" s="92" t="s">
        <v>66</v>
      </c>
      <c r="AA107" s="52">
        <v>1428</v>
      </c>
      <c r="AB107" s="52">
        <v>2</v>
      </c>
      <c r="AC107" s="105">
        <f t="shared" si="20"/>
        <v>8824</v>
      </c>
      <c r="AD107" s="42" t="s">
        <v>66</v>
      </c>
      <c r="AE107" s="48" t="s">
        <v>67</v>
      </c>
      <c r="AF107" s="49" t="str">
        <f t="shared" si="21"/>
        <v>..</v>
      </c>
      <c r="AG107" s="36"/>
      <c r="AH107" s="32"/>
      <c r="AI107" s="108"/>
      <c r="AJ107" s="28"/>
      <c r="AK107" s="25"/>
      <c r="AL107" s="29"/>
      <c r="AM107" s="21"/>
      <c r="AN107" s="19">
        <v>87</v>
      </c>
      <c r="AO107" s="19">
        <v>61</v>
      </c>
      <c r="AP107" s="106">
        <f t="shared" si="8"/>
        <v>148</v>
      </c>
      <c r="AQ107" s="20">
        <v>53854</v>
      </c>
      <c r="AR107" s="20">
        <v>62089</v>
      </c>
      <c r="AS107" s="118">
        <f t="shared" si="18"/>
        <v>1.2736370134511665</v>
      </c>
      <c r="AT107" s="118">
        <f t="shared" si="19"/>
        <v>1.1030579306408108</v>
      </c>
      <c r="AU107" s="19" t="s">
        <v>66</v>
      </c>
      <c r="AV107" s="19" t="s">
        <v>66</v>
      </c>
      <c r="AW107" s="19" t="s">
        <v>67</v>
      </c>
      <c r="AX107" s="19" t="s">
        <v>66</v>
      </c>
      <c r="AY107" s="22">
        <v>2590</v>
      </c>
      <c r="AZ107" s="22" t="s">
        <v>67</v>
      </c>
      <c r="BA107" s="19" t="s">
        <v>67</v>
      </c>
      <c r="BB107" s="106">
        <f t="shared" si="13"/>
        <v>2590</v>
      </c>
      <c r="BC107" s="21"/>
      <c r="BD107" s="70" t="s">
        <v>66</v>
      </c>
      <c r="BE107" s="70" t="s">
        <v>66</v>
      </c>
      <c r="BF107" s="114" t="str">
        <f t="shared" si="14"/>
        <v>..</v>
      </c>
      <c r="BG107" s="73"/>
      <c r="BH107" s="73"/>
      <c r="BI107" s="71" t="s">
        <v>66</v>
      </c>
      <c r="BJ107" s="71" t="s">
        <v>66</v>
      </c>
      <c r="BK107" s="71" t="s">
        <v>66</v>
      </c>
      <c r="BL107" s="116" t="s">
        <v>66</v>
      </c>
    </row>
    <row r="108" spans="1:64" s="13" customFormat="1" x14ac:dyDescent="0.2">
      <c r="A108" s="13" t="str">
        <f t="shared" si="9"/>
        <v>1993Q3</v>
      </c>
      <c r="B108" s="11">
        <f>B107</f>
        <v>1993</v>
      </c>
      <c r="C108" s="11" t="s">
        <v>3</v>
      </c>
      <c r="D108" s="43">
        <v>1420</v>
      </c>
      <c r="E108" s="43">
        <v>2936</v>
      </c>
      <c r="F108" s="87">
        <f t="shared" si="10"/>
        <v>4356</v>
      </c>
      <c r="G108" s="41">
        <v>905433</v>
      </c>
      <c r="H108" s="41">
        <v>1065674</v>
      </c>
      <c r="I108" s="93">
        <f t="shared" si="16"/>
        <v>160241</v>
      </c>
      <c r="J108" s="95">
        <f t="shared" si="22"/>
        <v>2.4460440743854472</v>
      </c>
      <c r="K108" s="95">
        <f t="shared" si="17"/>
        <v>2.0672388828460955</v>
      </c>
      <c r="L108" s="50">
        <v>1271</v>
      </c>
      <c r="M108" s="50">
        <v>32</v>
      </c>
      <c r="N108" s="42" t="s">
        <v>67</v>
      </c>
      <c r="O108" s="42" t="s">
        <v>67</v>
      </c>
      <c r="P108" s="51">
        <v>30</v>
      </c>
      <c r="Q108" s="98">
        <v>7172</v>
      </c>
      <c r="R108" s="42" t="s">
        <v>67</v>
      </c>
      <c r="S108" s="42" t="s">
        <v>66</v>
      </c>
      <c r="T108" s="92" t="s">
        <v>66</v>
      </c>
      <c r="U108" s="42" t="s">
        <v>66</v>
      </c>
      <c r="V108" s="92" t="s">
        <v>66</v>
      </c>
      <c r="W108" s="50">
        <v>4292</v>
      </c>
      <c r="X108" s="92" t="s">
        <v>66</v>
      </c>
      <c r="Y108" s="102">
        <v>2880</v>
      </c>
      <c r="Z108" s="92" t="s">
        <v>66</v>
      </c>
      <c r="AA108" s="52">
        <v>1378</v>
      </c>
      <c r="AB108" s="52">
        <v>3</v>
      </c>
      <c r="AC108" s="105">
        <f t="shared" si="20"/>
        <v>8553</v>
      </c>
      <c r="AD108" s="42" t="s">
        <v>66</v>
      </c>
      <c r="AE108" s="48" t="s">
        <v>67</v>
      </c>
      <c r="AF108" s="49" t="str">
        <f t="shared" si="21"/>
        <v>..</v>
      </c>
      <c r="AG108" s="36"/>
      <c r="AH108" s="32"/>
      <c r="AI108" s="108"/>
      <c r="AJ108" s="28"/>
      <c r="AK108" s="25"/>
      <c r="AL108" s="29"/>
      <c r="AM108" s="21"/>
      <c r="AN108" s="19">
        <v>66</v>
      </c>
      <c r="AO108" s="19">
        <v>69</v>
      </c>
      <c r="AP108" s="106">
        <f t="shared" si="8"/>
        <v>135</v>
      </c>
      <c r="AQ108" s="20">
        <v>54028</v>
      </c>
      <c r="AR108" s="20">
        <v>61725</v>
      </c>
      <c r="AS108" s="118">
        <f t="shared" si="18"/>
        <v>1.1816756791852558</v>
      </c>
      <c r="AT108" s="118">
        <f t="shared" si="19"/>
        <v>1.0273240788152711</v>
      </c>
      <c r="AU108" s="19" t="s">
        <v>66</v>
      </c>
      <c r="AV108" s="19" t="s">
        <v>66</v>
      </c>
      <c r="AW108" s="19" t="s">
        <v>67</v>
      </c>
      <c r="AX108" s="19" t="s">
        <v>66</v>
      </c>
      <c r="AY108" s="22">
        <v>404</v>
      </c>
      <c r="AZ108" s="22" t="s">
        <v>67</v>
      </c>
      <c r="BA108" s="19" t="s">
        <v>67</v>
      </c>
      <c r="BB108" s="106">
        <f t="shared" si="13"/>
        <v>404</v>
      </c>
      <c r="BC108" s="21"/>
      <c r="BD108" s="70" t="s">
        <v>66</v>
      </c>
      <c r="BE108" s="70" t="s">
        <v>66</v>
      </c>
      <c r="BF108" s="114" t="str">
        <f t="shared" si="14"/>
        <v>..</v>
      </c>
      <c r="BG108" s="73"/>
      <c r="BH108" s="73"/>
      <c r="BI108" s="71" t="s">
        <v>66</v>
      </c>
      <c r="BJ108" s="71" t="s">
        <v>66</v>
      </c>
      <c r="BK108" s="71" t="s">
        <v>66</v>
      </c>
      <c r="BL108" s="116" t="s">
        <v>66</v>
      </c>
    </row>
    <row r="109" spans="1:64" s="13" customFormat="1" x14ac:dyDescent="0.2">
      <c r="A109" s="13" t="str">
        <f t="shared" si="9"/>
        <v>1993Q4</v>
      </c>
      <c r="B109" s="11">
        <f>B108</f>
        <v>1993</v>
      </c>
      <c r="C109" s="11" t="s">
        <v>4</v>
      </c>
      <c r="D109" s="43">
        <v>2345</v>
      </c>
      <c r="E109" s="43">
        <v>2571</v>
      </c>
      <c r="F109" s="87">
        <f t="shared" si="10"/>
        <v>4916</v>
      </c>
      <c r="G109" s="41">
        <v>906620</v>
      </c>
      <c r="H109" s="41">
        <v>1057837</v>
      </c>
      <c r="I109" s="93">
        <f t="shared" si="16"/>
        <v>151217</v>
      </c>
      <c r="J109" s="95">
        <f t="shared" si="22"/>
        <v>2.2828870561803201</v>
      </c>
      <c r="K109" s="95">
        <f t="shared" si="17"/>
        <v>1.9390997391420177</v>
      </c>
      <c r="L109" s="50">
        <v>1118</v>
      </c>
      <c r="M109" s="50">
        <v>33</v>
      </c>
      <c r="N109" s="42" t="s">
        <v>67</v>
      </c>
      <c r="O109" s="42" t="s">
        <v>67</v>
      </c>
      <c r="P109" s="51">
        <v>54</v>
      </c>
      <c r="Q109" s="98">
        <v>7015</v>
      </c>
      <c r="R109" s="42" t="s">
        <v>67</v>
      </c>
      <c r="S109" s="42" t="s">
        <v>66</v>
      </c>
      <c r="T109" s="92" t="s">
        <v>66</v>
      </c>
      <c r="U109" s="42" t="s">
        <v>66</v>
      </c>
      <c r="V109" s="92" t="s">
        <v>66</v>
      </c>
      <c r="W109" s="50">
        <v>4339</v>
      </c>
      <c r="X109" s="92" t="s">
        <v>66</v>
      </c>
      <c r="Y109" s="102">
        <v>2676</v>
      </c>
      <c r="Z109" s="92" t="s">
        <v>66</v>
      </c>
      <c r="AA109" s="52">
        <v>1367</v>
      </c>
      <c r="AB109" s="52">
        <v>2</v>
      </c>
      <c r="AC109" s="105">
        <f t="shared" si="20"/>
        <v>8384</v>
      </c>
      <c r="AD109" s="42" t="s">
        <v>66</v>
      </c>
      <c r="AE109" s="48" t="s">
        <v>67</v>
      </c>
      <c r="AF109" s="49" t="str">
        <f t="shared" si="21"/>
        <v>..</v>
      </c>
      <c r="AG109" s="36"/>
      <c r="AH109" s="32"/>
      <c r="AI109" s="108"/>
      <c r="AJ109" s="28"/>
      <c r="AK109" s="25"/>
      <c r="AL109" s="29"/>
      <c r="AM109" s="21"/>
      <c r="AN109" s="19">
        <v>63</v>
      </c>
      <c r="AO109" s="19">
        <v>44</v>
      </c>
      <c r="AP109" s="106">
        <f t="shared" si="8"/>
        <v>107</v>
      </c>
      <c r="AQ109" s="20">
        <v>54121</v>
      </c>
      <c r="AR109" s="20">
        <v>61668</v>
      </c>
      <c r="AS109" s="118">
        <f t="shared" si="18"/>
        <v>1.0212450478419015</v>
      </c>
      <c r="AT109" s="118">
        <f t="shared" si="19"/>
        <v>0.8907713821506229</v>
      </c>
      <c r="AU109" s="19" t="s">
        <v>66</v>
      </c>
      <c r="AV109" s="19" t="s">
        <v>66</v>
      </c>
      <c r="AW109" s="19" t="s">
        <v>67</v>
      </c>
      <c r="AX109" s="19" t="s">
        <v>66</v>
      </c>
      <c r="AY109" s="22">
        <v>411</v>
      </c>
      <c r="AZ109" s="22" t="s">
        <v>67</v>
      </c>
      <c r="BA109" s="19" t="s">
        <v>67</v>
      </c>
      <c r="BB109" s="106">
        <f t="shared" si="13"/>
        <v>411</v>
      </c>
      <c r="BC109" s="21"/>
      <c r="BD109" s="70" t="s">
        <v>66</v>
      </c>
      <c r="BE109" s="70" t="s">
        <v>66</v>
      </c>
      <c r="BF109" s="114" t="str">
        <f t="shared" si="14"/>
        <v>..</v>
      </c>
      <c r="BG109" s="73"/>
      <c r="BH109" s="73"/>
      <c r="BI109" s="71" t="s">
        <v>66</v>
      </c>
      <c r="BJ109" s="71" t="s">
        <v>66</v>
      </c>
      <c r="BK109" s="71" t="s">
        <v>66</v>
      </c>
      <c r="BL109" s="116" t="s">
        <v>66</v>
      </c>
    </row>
    <row r="110" spans="1:64" s="13" customFormat="1" x14ac:dyDescent="0.2">
      <c r="A110" s="13" t="str">
        <f t="shared" si="9"/>
        <v>1994Q1</v>
      </c>
      <c r="B110" s="11">
        <v>1994</v>
      </c>
      <c r="C110" s="63" t="s">
        <v>1</v>
      </c>
      <c r="D110" s="43">
        <v>1806</v>
      </c>
      <c r="E110" s="43">
        <v>3081</v>
      </c>
      <c r="F110" s="87">
        <f t="shared" si="10"/>
        <v>4887</v>
      </c>
      <c r="G110" s="41">
        <v>901608</v>
      </c>
      <c r="H110" s="41">
        <v>1058050</v>
      </c>
      <c r="I110" s="93">
        <f t="shared" si="16"/>
        <v>156442</v>
      </c>
      <c r="J110" s="95">
        <f t="shared" si="22"/>
        <v>2.1403836272813783</v>
      </c>
      <c r="K110" s="95">
        <f t="shared" si="17"/>
        <v>1.8207968196247286</v>
      </c>
      <c r="L110" s="50">
        <v>1202</v>
      </c>
      <c r="M110" s="50">
        <v>49</v>
      </c>
      <c r="N110" s="42" t="s">
        <v>67</v>
      </c>
      <c r="O110" s="42" t="s">
        <v>67</v>
      </c>
      <c r="P110" s="51">
        <v>78</v>
      </c>
      <c r="Q110" s="98">
        <v>7415</v>
      </c>
      <c r="R110" s="42" t="s">
        <v>67</v>
      </c>
      <c r="S110" s="42" t="s">
        <v>66</v>
      </c>
      <c r="T110" s="92" t="s">
        <v>66</v>
      </c>
      <c r="U110" s="42" t="s">
        <v>66</v>
      </c>
      <c r="V110" s="92" t="s">
        <v>66</v>
      </c>
      <c r="W110" s="50">
        <v>4446</v>
      </c>
      <c r="X110" s="92" t="s">
        <v>66</v>
      </c>
      <c r="Y110" s="102">
        <v>2969</v>
      </c>
      <c r="Z110" s="92" t="s">
        <v>66</v>
      </c>
      <c r="AA110" s="52">
        <v>1313</v>
      </c>
      <c r="AB110" s="52">
        <v>1</v>
      </c>
      <c r="AC110" s="105">
        <f t="shared" si="20"/>
        <v>8729</v>
      </c>
      <c r="AD110" s="42" t="s">
        <v>66</v>
      </c>
      <c r="AE110" s="48" t="s">
        <v>67</v>
      </c>
      <c r="AF110" s="49" t="str">
        <f t="shared" si="21"/>
        <v>..</v>
      </c>
      <c r="AG110" s="36"/>
      <c r="AH110" s="32"/>
      <c r="AI110" s="108"/>
      <c r="AJ110" s="28"/>
      <c r="AK110" s="25"/>
      <c r="AL110" s="29"/>
      <c r="AM110" s="21"/>
      <c r="AN110" s="19">
        <v>66</v>
      </c>
      <c r="AO110" s="19">
        <v>53</v>
      </c>
      <c r="AP110" s="106">
        <f t="shared" si="8"/>
        <v>119</v>
      </c>
      <c r="AQ110" s="20">
        <v>54232</v>
      </c>
      <c r="AR110" s="20">
        <v>61439</v>
      </c>
      <c r="AS110" s="118">
        <f t="shared" si="18"/>
        <v>0.94156820126251528</v>
      </c>
      <c r="AT110" s="118">
        <f t="shared" si="19"/>
        <v>0.82455522211557553</v>
      </c>
      <c r="AU110" s="19" t="s">
        <v>66</v>
      </c>
      <c r="AV110" s="19" t="s">
        <v>66</v>
      </c>
      <c r="AW110" s="19" t="s">
        <v>67</v>
      </c>
      <c r="AX110" s="19" t="s">
        <v>66</v>
      </c>
      <c r="AY110" s="22">
        <v>522</v>
      </c>
      <c r="AZ110" s="22" t="s">
        <v>67</v>
      </c>
      <c r="BA110" s="20">
        <v>46</v>
      </c>
      <c r="BB110" s="106">
        <f t="shared" si="13"/>
        <v>568</v>
      </c>
      <c r="BC110" s="21"/>
      <c r="BD110" s="70" t="s">
        <v>66</v>
      </c>
      <c r="BE110" s="70" t="s">
        <v>66</v>
      </c>
      <c r="BF110" s="114" t="str">
        <f t="shared" si="14"/>
        <v>..</v>
      </c>
      <c r="BG110" s="73"/>
      <c r="BH110" s="73"/>
      <c r="BI110" s="71" t="s">
        <v>66</v>
      </c>
      <c r="BJ110" s="71" t="s">
        <v>66</v>
      </c>
      <c r="BK110" s="71" t="s">
        <v>66</v>
      </c>
      <c r="BL110" s="116" t="s">
        <v>66</v>
      </c>
    </row>
    <row r="111" spans="1:64" s="13" customFormat="1" x14ac:dyDescent="0.2">
      <c r="A111" s="13" t="str">
        <f t="shared" si="9"/>
        <v>1994Q2</v>
      </c>
      <c r="B111" s="11">
        <f>B110</f>
        <v>1994</v>
      </c>
      <c r="C111" s="11" t="s">
        <v>2</v>
      </c>
      <c r="D111" s="43">
        <v>1627</v>
      </c>
      <c r="E111" s="43">
        <v>2451</v>
      </c>
      <c r="F111" s="87">
        <f t="shared" si="10"/>
        <v>4078</v>
      </c>
      <c r="G111" s="41">
        <v>902423</v>
      </c>
      <c r="H111" s="41">
        <v>1060467</v>
      </c>
      <c r="I111" s="93">
        <f t="shared" si="16"/>
        <v>158044</v>
      </c>
      <c r="J111" s="95">
        <f t="shared" si="22"/>
        <v>2.017320394105889</v>
      </c>
      <c r="K111" s="95">
        <f t="shared" si="17"/>
        <v>1.7196491866626058</v>
      </c>
      <c r="L111" s="50">
        <v>968</v>
      </c>
      <c r="M111" s="50">
        <v>52</v>
      </c>
      <c r="N111" s="42" t="s">
        <v>67</v>
      </c>
      <c r="O111" s="42" t="s">
        <v>67</v>
      </c>
      <c r="P111" s="51">
        <v>56</v>
      </c>
      <c r="Q111" s="98">
        <v>6588</v>
      </c>
      <c r="R111" s="42" t="s">
        <v>67</v>
      </c>
      <c r="S111" s="42" t="s">
        <v>66</v>
      </c>
      <c r="T111" s="92" t="s">
        <v>66</v>
      </c>
      <c r="U111" s="42" t="s">
        <v>66</v>
      </c>
      <c r="V111" s="92" t="s">
        <v>66</v>
      </c>
      <c r="W111" s="50">
        <v>3918</v>
      </c>
      <c r="X111" s="92" t="s">
        <v>66</v>
      </c>
      <c r="Y111" s="102">
        <v>2670</v>
      </c>
      <c r="Z111" s="92" t="s">
        <v>66</v>
      </c>
      <c r="AA111" s="52">
        <v>1395</v>
      </c>
      <c r="AB111" s="52">
        <v>1</v>
      </c>
      <c r="AC111" s="105">
        <f t="shared" si="20"/>
        <v>7984</v>
      </c>
      <c r="AD111" s="42" t="s">
        <v>66</v>
      </c>
      <c r="AE111" s="48" t="s">
        <v>67</v>
      </c>
      <c r="AF111" s="49" t="str">
        <f t="shared" si="21"/>
        <v>..</v>
      </c>
      <c r="AG111" s="36"/>
      <c r="AH111" s="32"/>
      <c r="AI111" s="108"/>
      <c r="AJ111" s="28"/>
      <c r="AK111" s="25"/>
      <c r="AL111" s="29"/>
      <c r="AM111" s="21"/>
      <c r="AN111" s="19">
        <v>57</v>
      </c>
      <c r="AO111" s="19">
        <v>50</v>
      </c>
      <c r="AP111" s="106">
        <f t="shared" si="8"/>
        <v>107</v>
      </c>
      <c r="AQ111" s="20">
        <v>54350</v>
      </c>
      <c r="AR111" s="20">
        <v>61754</v>
      </c>
      <c r="AS111" s="118">
        <f t="shared" si="18"/>
        <v>0.86374353461203068</v>
      </c>
      <c r="AT111" s="118">
        <f t="shared" si="19"/>
        <v>0.75916718710713504</v>
      </c>
      <c r="AU111" s="19" t="s">
        <v>66</v>
      </c>
      <c r="AV111" s="19" t="s">
        <v>66</v>
      </c>
      <c r="AW111" s="19" t="s">
        <v>67</v>
      </c>
      <c r="AX111" s="19" t="s">
        <v>66</v>
      </c>
      <c r="AY111" s="22">
        <v>577</v>
      </c>
      <c r="AZ111" s="22" t="s">
        <v>67</v>
      </c>
      <c r="BA111" s="20">
        <v>142</v>
      </c>
      <c r="BB111" s="106">
        <f t="shared" si="13"/>
        <v>719</v>
      </c>
      <c r="BC111" s="21"/>
      <c r="BD111" s="70" t="s">
        <v>66</v>
      </c>
      <c r="BE111" s="70" t="s">
        <v>66</v>
      </c>
      <c r="BF111" s="114" t="str">
        <f t="shared" si="14"/>
        <v>..</v>
      </c>
      <c r="BG111" s="73"/>
      <c r="BH111" s="73"/>
      <c r="BI111" s="71" t="s">
        <v>66</v>
      </c>
      <c r="BJ111" s="71" t="s">
        <v>66</v>
      </c>
      <c r="BK111" s="71" t="s">
        <v>66</v>
      </c>
      <c r="BL111" s="116" t="s">
        <v>66</v>
      </c>
    </row>
    <row r="112" spans="1:64" s="13" customFormat="1" x14ac:dyDescent="0.2">
      <c r="A112" s="13" t="str">
        <f t="shared" si="9"/>
        <v>1994Q3</v>
      </c>
      <c r="B112" s="11">
        <f>B111</f>
        <v>1994</v>
      </c>
      <c r="C112" s="11" t="s">
        <v>3</v>
      </c>
      <c r="D112" s="43">
        <v>1414</v>
      </c>
      <c r="E112" s="43">
        <v>2557</v>
      </c>
      <c r="F112" s="87">
        <f t="shared" si="10"/>
        <v>3971</v>
      </c>
      <c r="G112" s="41">
        <v>907434</v>
      </c>
      <c r="H112" s="41">
        <v>1048659</v>
      </c>
      <c r="I112" s="93">
        <f t="shared" si="16"/>
        <v>141225</v>
      </c>
      <c r="J112" s="95">
        <f t="shared" si="22"/>
        <v>1.9736407519447441</v>
      </c>
      <c r="K112" s="95">
        <f t="shared" si="17"/>
        <v>1.690124977130248</v>
      </c>
      <c r="L112" s="50">
        <v>879</v>
      </c>
      <c r="M112" s="50">
        <v>30</v>
      </c>
      <c r="N112" s="42" t="s">
        <v>67</v>
      </c>
      <c r="O112" s="42" t="s">
        <v>67</v>
      </c>
      <c r="P112" s="51">
        <v>68</v>
      </c>
      <c r="Q112" s="98">
        <v>6140</v>
      </c>
      <c r="R112" s="42" t="s">
        <v>67</v>
      </c>
      <c r="S112" s="42" t="s">
        <v>66</v>
      </c>
      <c r="T112" s="92" t="s">
        <v>66</v>
      </c>
      <c r="U112" s="42" t="s">
        <v>66</v>
      </c>
      <c r="V112" s="92" t="s">
        <v>66</v>
      </c>
      <c r="W112" s="50">
        <v>3383</v>
      </c>
      <c r="X112" s="92" t="s">
        <v>66</v>
      </c>
      <c r="Y112" s="102">
        <v>2757</v>
      </c>
      <c r="Z112" s="92" t="s">
        <v>66</v>
      </c>
      <c r="AA112" s="52">
        <v>1242</v>
      </c>
      <c r="AB112" s="52">
        <v>0</v>
      </c>
      <c r="AC112" s="105">
        <f t="shared" si="20"/>
        <v>7382</v>
      </c>
      <c r="AD112" s="42" t="s">
        <v>66</v>
      </c>
      <c r="AE112" s="48" t="s">
        <v>67</v>
      </c>
      <c r="AF112" s="49" t="str">
        <f t="shared" si="21"/>
        <v>..</v>
      </c>
      <c r="AG112" s="36"/>
      <c r="AH112" s="32"/>
      <c r="AI112" s="108"/>
      <c r="AJ112" s="28"/>
      <c r="AK112" s="25"/>
      <c r="AL112" s="29"/>
      <c r="AM112" s="21"/>
      <c r="AN112" s="19">
        <v>70</v>
      </c>
      <c r="AO112" s="19">
        <v>47</v>
      </c>
      <c r="AP112" s="106">
        <f t="shared" si="8"/>
        <v>117</v>
      </c>
      <c r="AQ112" s="20">
        <v>54572</v>
      </c>
      <c r="AR112" s="20">
        <v>61723</v>
      </c>
      <c r="AS112" s="118">
        <f t="shared" si="18"/>
        <v>0.82844321712115987</v>
      </c>
      <c r="AT112" s="118">
        <f t="shared" si="19"/>
        <v>0.72997436978879415</v>
      </c>
      <c r="AU112" s="19" t="s">
        <v>66</v>
      </c>
      <c r="AV112" s="19" t="s">
        <v>66</v>
      </c>
      <c r="AW112" s="19" t="s">
        <v>67</v>
      </c>
      <c r="AX112" s="19" t="s">
        <v>66</v>
      </c>
      <c r="AY112" s="22">
        <v>545</v>
      </c>
      <c r="AZ112" s="22" t="s">
        <v>67</v>
      </c>
      <c r="BA112" s="20">
        <v>91</v>
      </c>
      <c r="BB112" s="106">
        <f t="shared" si="13"/>
        <v>636</v>
      </c>
      <c r="BC112" s="21"/>
      <c r="BD112" s="70" t="s">
        <v>66</v>
      </c>
      <c r="BE112" s="70" t="s">
        <v>66</v>
      </c>
      <c r="BF112" s="114" t="str">
        <f t="shared" si="14"/>
        <v>..</v>
      </c>
      <c r="BG112" s="73"/>
      <c r="BH112" s="73"/>
      <c r="BI112" s="71" t="s">
        <v>66</v>
      </c>
      <c r="BJ112" s="71" t="s">
        <v>66</v>
      </c>
      <c r="BK112" s="71" t="s">
        <v>66</v>
      </c>
      <c r="BL112" s="116" t="s">
        <v>66</v>
      </c>
    </row>
    <row r="113" spans="1:64" s="13" customFormat="1" x14ac:dyDescent="0.2">
      <c r="A113" s="13" t="str">
        <f t="shared" si="9"/>
        <v>1994Q4</v>
      </c>
      <c r="B113" s="11">
        <f>B112</f>
        <v>1994</v>
      </c>
      <c r="C113" s="11" t="s">
        <v>4</v>
      </c>
      <c r="D113" s="43">
        <v>1750</v>
      </c>
      <c r="E113" s="43">
        <v>2042</v>
      </c>
      <c r="F113" s="87">
        <f t="shared" si="10"/>
        <v>3792</v>
      </c>
      <c r="G113" s="41">
        <v>914329</v>
      </c>
      <c r="H113" s="41">
        <v>1054233</v>
      </c>
      <c r="I113" s="93">
        <f t="shared" si="16"/>
        <v>139904</v>
      </c>
      <c r="J113" s="95">
        <f t="shared" si="22"/>
        <v>1.8454440599769319</v>
      </c>
      <c r="K113" s="95">
        <f t="shared" ref="K113:K144" si="23">SUM(F110:F113)/AVERAGE(H110:H113)*100</f>
        <v>1.5850631862489515</v>
      </c>
      <c r="L113" s="50">
        <v>828</v>
      </c>
      <c r="M113" s="50">
        <v>28</v>
      </c>
      <c r="N113" s="42" t="s">
        <v>67</v>
      </c>
      <c r="O113" s="42" t="s">
        <v>67</v>
      </c>
      <c r="P113" s="51">
        <v>62</v>
      </c>
      <c r="Q113" s="98">
        <v>5491</v>
      </c>
      <c r="R113" s="42" t="s">
        <v>67</v>
      </c>
      <c r="S113" s="42" t="s">
        <v>66</v>
      </c>
      <c r="T113" s="92" t="s">
        <v>66</v>
      </c>
      <c r="U113" s="42" t="s">
        <v>66</v>
      </c>
      <c r="V113" s="92" t="s">
        <v>66</v>
      </c>
      <c r="W113" s="50">
        <v>3367</v>
      </c>
      <c r="X113" s="92" t="s">
        <v>66</v>
      </c>
      <c r="Y113" s="102">
        <v>2124</v>
      </c>
      <c r="Z113" s="92" t="s">
        <v>66</v>
      </c>
      <c r="AA113" s="52">
        <v>1153</v>
      </c>
      <c r="AB113" s="52">
        <v>0</v>
      </c>
      <c r="AC113" s="105">
        <f t="shared" si="20"/>
        <v>6644</v>
      </c>
      <c r="AD113" s="42" t="s">
        <v>66</v>
      </c>
      <c r="AE113" s="48" t="s">
        <v>67</v>
      </c>
      <c r="AF113" s="49" t="str">
        <f t="shared" si="21"/>
        <v>..</v>
      </c>
      <c r="AG113" s="36"/>
      <c r="AH113" s="32"/>
      <c r="AI113" s="108"/>
      <c r="AJ113" s="28"/>
      <c r="AK113" s="25"/>
      <c r="AL113" s="29"/>
      <c r="AM113" s="21"/>
      <c r="AN113" s="19">
        <v>49</v>
      </c>
      <c r="AO113" s="19">
        <v>52</v>
      </c>
      <c r="AP113" s="106">
        <f t="shared" si="8"/>
        <v>101</v>
      </c>
      <c r="AQ113" s="20">
        <v>54897</v>
      </c>
      <c r="AR113" s="20">
        <v>61960</v>
      </c>
      <c r="AS113" s="118">
        <f t="shared" si="18"/>
        <v>0.81448835364203787</v>
      </c>
      <c r="AT113" s="118">
        <f t="shared" si="19"/>
        <v>0.7193894910805424</v>
      </c>
      <c r="AU113" s="19" t="s">
        <v>66</v>
      </c>
      <c r="AV113" s="19" t="s">
        <v>66</v>
      </c>
      <c r="AW113" s="19" t="s">
        <v>67</v>
      </c>
      <c r="AX113" s="19" t="s">
        <v>66</v>
      </c>
      <c r="AY113" s="22">
        <v>538</v>
      </c>
      <c r="AZ113" s="22" t="s">
        <v>67</v>
      </c>
      <c r="BA113" s="20">
        <v>95</v>
      </c>
      <c r="BB113" s="106">
        <f t="shared" si="13"/>
        <v>633</v>
      </c>
      <c r="BC113" s="21"/>
      <c r="BD113" s="70" t="s">
        <v>66</v>
      </c>
      <c r="BE113" s="70" t="s">
        <v>66</v>
      </c>
      <c r="BF113" s="114" t="str">
        <f t="shared" si="14"/>
        <v>..</v>
      </c>
      <c r="BG113" s="73"/>
      <c r="BH113" s="73"/>
      <c r="BI113" s="71" t="s">
        <v>66</v>
      </c>
      <c r="BJ113" s="71" t="s">
        <v>66</v>
      </c>
      <c r="BK113" s="71" t="s">
        <v>66</v>
      </c>
      <c r="BL113" s="116" t="s">
        <v>66</v>
      </c>
    </row>
    <row r="114" spans="1:64" s="13" customFormat="1" x14ac:dyDescent="0.2">
      <c r="A114" s="13" t="str">
        <f t="shared" si="9"/>
        <v>1995Q1</v>
      </c>
      <c r="B114" s="11">
        <v>1995</v>
      </c>
      <c r="C114" s="63" t="s">
        <v>1</v>
      </c>
      <c r="D114" s="43">
        <v>1441</v>
      </c>
      <c r="E114" s="43">
        <v>2362</v>
      </c>
      <c r="F114" s="87">
        <f t="shared" si="10"/>
        <v>3803</v>
      </c>
      <c r="G114" s="41">
        <v>923116</v>
      </c>
      <c r="H114" s="41">
        <v>1057464</v>
      </c>
      <c r="I114" s="93">
        <f t="shared" si="16"/>
        <v>134348</v>
      </c>
      <c r="J114" s="95">
        <f t="shared" si="22"/>
        <v>1.7156791513288452</v>
      </c>
      <c r="K114" s="95">
        <f t="shared" si="23"/>
        <v>1.4825544686427268</v>
      </c>
      <c r="L114" s="50">
        <v>898</v>
      </c>
      <c r="M114" s="50">
        <v>59</v>
      </c>
      <c r="N114" s="42" t="s">
        <v>67</v>
      </c>
      <c r="O114" s="42" t="s">
        <v>67</v>
      </c>
      <c r="P114" s="51">
        <v>95</v>
      </c>
      <c r="Q114" s="98">
        <v>5609</v>
      </c>
      <c r="R114" s="42" t="s">
        <v>67</v>
      </c>
      <c r="S114" s="42" t="s">
        <v>66</v>
      </c>
      <c r="T114" s="92" t="s">
        <v>66</v>
      </c>
      <c r="U114" s="42" t="s">
        <v>66</v>
      </c>
      <c r="V114" s="92" t="s">
        <v>66</v>
      </c>
      <c r="W114" s="50">
        <v>3494</v>
      </c>
      <c r="X114" s="92" t="s">
        <v>66</v>
      </c>
      <c r="Y114" s="102">
        <v>2115</v>
      </c>
      <c r="Z114" s="92" t="s">
        <v>66</v>
      </c>
      <c r="AA114" s="52">
        <v>1174</v>
      </c>
      <c r="AB114" s="52">
        <v>1</v>
      </c>
      <c r="AC114" s="105">
        <f t="shared" si="20"/>
        <v>6784</v>
      </c>
      <c r="AD114" s="42" t="s">
        <v>66</v>
      </c>
      <c r="AE114" s="48" t="s">
        <v>67</v>
      </c>
      <c r="AF114" s="49" t="str">
        <f t="shared" si="21"/>
        <v>..</v>
      </c>
      <c r="AG114" s="36"/>
      <c r="AH114" s="32"/>
      <c r="AI114" s="108"/>
      <c r="AJ114" s="28"/>
      <c r="AK114" s="25"/>
      <c r="AL114" s="29"/>
      <c r="AM114" s="21"/>
      <c r="AN114" s="19">
        <v>71</v>
      </c>
      <c r="AO114" s="19">
        <v>66</v>
      </c>
      <c r="AP114" s="106">
        <f t="shared" si="8"/>
        <v>137</v>
      </c>
      <c r="AQ114" s="20">
        <v>55275</v>
      </c>
      <c r="AR114" s="20">
        <v>62165</v>
      </c>
      <c r="AS114" s="118">
        <f t="shared" si="18"/>
        <v>0.84347357755118813</v>
      </c>
      <c r="AT114" s="118">
        <f t="shared" si="19"/>
        <v>0.74635907625948095</v>
      </c>
      <c r="AU114" s="19" t="s">
        <v>66</v>
      </c>
      <c r="AV114" s="19" t="s">
        <v>66</v>
      </c>
      <c r="AW114" s="19" t="s">
        <v>67</v>
      </c>
      <c r="AX114" s="19" t="s">
        <v>66</v>
      </c>
      <c r="AY114" s="22">
        <v>649</v>
      </c>
      <c r="AZ114" s="22" t="s">
        <v>67</v>
      </c>
      <c r="BA114" s="20">
        <v>92</v>
      </c>
      <c r="BB114" s="106">
        <f t="shared" si="13"/>
        <v>741</v>
      </c>
      <c r="BC114" s="21"/>
      <c r="BD114" s="70" t="s">
        <v>66</v>
      </c>
      <c r="BE114" s="70" t="s">
        <v>66</v>
      </c>
      <c r="BF114" s="114" t="str">
        <f t="shared" si="14"/>
        <v>..</v>
      </c>
      <c r="BG114" s="73"/>
      <c r="BH114" s="73"/>
      <c r="BI114" s="71" t="s">
        <v>66</v>
      </c>
      <c r="BJ114" s="71" t="s">
        <v>66</v>
      </c>
      <c r="BK114" s="71" t="s">
        <v>66</v>
      </c>
      <c r="BL114" s="116" t="s">
        <v>66</v>
      </c>
    </row>
    <row r="115" spans="1:64" s="13" customFormat="1" x14ac:dyDescent="0.2">
      <c r="A115" s="13" t="str">
        <f t="shared" si="9"/>
        <v>1995Q2</v>
      </c>
      <c r="B115" s="11">
        <f>B114</f>
        <v>1995</v>
      </c>
      <c r="C115" s="11" t="s">
        <v>2</v>
      </c>
      <c r="D115" s="43">
        <v>1276</v>
      </c>
      <c r="E115" s="43">
        <v>2083</v>
      </c>
      <c r="F115" s="87">
        <f t="shared" si="10"/>
        <v>3359</v>
      </c>
      <c r="G115" s="41">
        <v>930339</v>
      </c>
      <c r="H115" s="41">
        <v>1067161</v>
      </c>
      <c r="I115" s="93">
        <f t="shared" si="16"/>
        <v>136822</v>
      </c>
      <c r="J115" s="95">
        <f t="shared" si="22"/>
        <v>1.6243934373416762</v>
      </c>
      <c r="K115" s="95">
        <f t="shared" si="23"/>
        <v>1.4121764619751973</v>
      </c>
      <c r="L115" s="50">
        <v>898</v>
      </c>
      <c r="M115" s="50">
        <v>34</v>
      </c>
      <c r="N115" s="42" t="s">
        <v>67</v>
      </c>
      <c r="O115" s="42" t="s">
        <v>67</v>
      </c>
      <c r="P115" s="51">
        <v>98</v>
      </c>
      <c r="Q115" s="98">
        <v>5838</v>
      </c>
      <c r="R115" s="42" t="s">
        <v>67</v>
      </c>
      <c r="S115" s="42" t="s">
        <v>66</v>
      </c>
      <c r="T115" s="92" t="s">
        <v>66</v>
      </c>
      <c r="U115" s="42" t="s">
        <v>66</v>
      </c>
      <c r="V115" s="92" t="s">
        <v>66</v>
      </c>
      <c r="W115" s="50">
        <v>3474</v>
      </c>
      <c r="X115" s="92" t="s">
        <v>66</v>
      </c>
      <c r="Y115" s="102">
        <v>2364</v>
      </c>
      <c r="Z115" s="92" t="s">
        <v>66</v>
      </c>
      <c r="AA115" s="52">
        <v>1020</v>
      </c>
      <c r="AB115" s="52">
        <v>0</v>
      </c>
      <c r="AC115" s="105">
        <f t="shared" si="20"/>
        <v>6858</v>
      </c>
      <c r="AD115" s="42" t="s">
        <v>66</v>
      </c>
      <c r="AE115" s="48" t="s">
        <v>67</v>
      </c>
      <c r="AF115" s="49" t="str">
        <f t="shared" si="21"/>
        <v>..</v>
      </c>
      <c r="AG115" s="36"/>
      <c r="AH115" s="32"/>
      <c r="AI115" s="108"/>
      <c r="AJ115" s="28"/>
      <c r="AK115" s="25"/>
      <c r="AL115" s="29"/>
      <c r="AM115" s="21"/>
      <c r="AN115" s="19">
        <v>72</v>
      </c>
      <c r="AO115" s="19">
        <v>43</v>
      </c>
      <c r="AP115" s="106">
        <f t="shared" si="8"/>
        <v>115</v>
      </c>
      <c r="AQ115" s="20">
        <v>55687</v>
      </c>
      <c r="AR115" s="20">
        <v>62820</v>
      </c>
      <c r="AS115" s="118">
        <f t="shared" si="18"/>
        <v>0.85287459567846624</v>
      </c>
      <c r="AT115" s="118">
        <f t="shared" si="19"/>
        <v>0.75602811781170076</v>
      </c>
      <c r="AU115" s="19" t="s">
        <v>66</v>
      </c>
      <c r="AV115" s="19" t="s">
        <v>66</v>
      </c>
      <c r="AW115" s="19" t="s">
        <v>67</v>
      </c>
      <c r="AX115" s="19" t="s">
        <v>66</v>
      </c>
      <c r="AY115" s="22">
        <v>606</v>
      </c>
      <c r="AZ115" s="22" t="s">
        <v>67</v>
      </c>
      <c r="BA115" s="20">
        <v>116</v>
      </c>
      <c r="BB115" s="106">
        <f t="shared" si="13"/>
        <v>722</v>
      </c>
      <c r="BC115" s="21"/>
      <c r="BD115" s="70" t="s">
        <v>66</v>
      </c>
      <c r="BE115" s="70" t="s">
        <v>66</v>
      </c>
      <c r="BF115" s="114" t="str">
        <f t="shared" si="14"/>
        <v>..</v>
      </c>
      <c r="BG115" s="73"/>
      <c r="BH115" s="73"/>
      <c r="BI115" s="71" t="s">
        <v>66</v>
      </c>
      <c r="BJ115" s="71" t="s">
        <v>66</v>
      </c>
      <c r="BK115" s="71" t="s">
        <v>66</v>
      </c>
      <c r="BL115" s="116" t="s">
        <v>66</v>
      </c>
    </row>
    <row r="116" spans="1:64" s="13" customFormat="1" x14ac:dyDescent="0.2">
      <c r="A116" s="13" t="str">
        <f t="shared" si="9"/>
        <v>1995Q3</v>
      </c>
      <c r="B116" s="11">
        <f>B115</f>
        <v>1995</v>
      </c>
      <c r="C116" s="11" t="s">
        <v>3</v>
      </c>
      <c r="D116" s="43">
        <v>1387</v>
      </c>
      <c r="E116" s="43">
        <v>2243</v>
      </c>
      <c r="F116" s="87">
        <f t="shared" si="10"/>
        <v>3630</v>
      </c>
      <c r="G116" s="41">
        <v>941638</v>
      </c>
      <c r="H116" s="41">
        <v>1073949</v>
      </c>
      <c r="I116" s="93">
        <f t="shared" si="16"/>
        <v>132311</v>
      </c>
      <c r="J116" s="95">
        <f t="shared" si="22"/>
        <v>1.572643932127431</v>
      </c>
      <c r="K116" s="95">
        <f t="shared" si="23"/>
        <v>1.3717057933736472</v>
      </c>
      <c r="L116" s="50">
        <v>721</v>
      </c>
      <c r="M116" s="50">
        <v>36</v>
      </c>
      <c r="N116" s="42" t="s">
        <v>67</v>
      </c>
      <c r="O116" s="42" t="s">
        <v>67</v>
      </c>
      <c r="P116" s="51">
        <v>104</v>
      </c>
      <c r="Q116" s="98">
        <v>5279</v>
      </c>
      <c r="R116" s="42" t="s">
        <v>67</v>
      </c>
      <c r="S116" s="42" t="s">
        <v>66</v>
      </c>
      <c r="T116" s="92" t="s">
        <v>66</v>
      </c>
      <c r="U116" s="42" t="s">
        <v>66</v>
      </c>
      <c r="V116" s="92" t="s">
        <v>66</v>
      </c>
      <c r="W116" s="50">
        <v>3221</v>
      </c>
      <c r="X116" s="92" t="s">
        <v>66</v>
      </c>
      <c r="Y116" s="102">
        <v>2058</v>
      </c>
      <c r="Z116" s="92" t="s">
        <v>66</v>
      </c>
      <c r="AA116" s="52">
        <v>1123</v>
      </c>
      <c r="AB116" s="52">
        <v>0</v>
      </c>
      <c r="AC116" s="105">
        <f t="shared" si="20"/>
        <v>6402</v>
      </c>
      <c r="AD116" s="42" t="s">
        <v>66</v>
      </c>
      <c r="AE116" s="48" t="s">
        <v>67</v>
      </c>
      <c r="AF116" s="49" t="str">
        <f t="shared" si="21"/>
        <v>..</v>
      </c>
      <c r="AG116" s="36"/>
      <c r="AH116" s="32"/>
      <c r="AI116" s="108"/>
      <c r="AJ116" s="28"/>
      <c r="AK116" s="25"/>
      <c r="AL116" s="29"/>
      <c r="AM116" s="21"/>
      <c r="AN116" s="19">
        <v>47</v>
      </c>
      <c r="AO116" s="19">
        <v>40</v>
      </c>
      <c r="AP116" s="106">
        <f t="shared" si="8"/>
        <v>87</v>
      </c>
      <c r="AQ116" s="20">
        <v>56832</v>
      </c>
      <c r="AR116" s="20">
        <v>62860</v>
      </c>
      <c r="AS116" s="118">
        <f t="shared" si="18"/>
        <v>0.79033279297322301</v>
      </c>
      <c r="AT116" s="118">
        <f t="shared" si="19"/>
        <v>0.70454954864794539</v>
      </c>
      <c r="AU116" s="19" t="s">
        <v>66</v>
      </c>
      <c r="AV116" s="19" t="s">
        <v>66</v>
      </c>
      <c r="AW116" s="19" t="s">
        <v>67</v>
      </c>
      <c r="AX116" s="19" t="s">
        <v>66</v>
      </c>
      <c r="AY116" s="22">
        <v>494</v>
      </c>
      <c r="AZ116" s="22" t="s">
        <v>67</v>
      </c>
      <c r="BA116" s="20">
        <v>149</v>
      </c>
      <c r="BB116" s="106">
        <f t="shared" si="13"/>
        <v>643</v>
      </c>
      <c r="BC116" s="21"/>
      <c r="BD116" s="70" t="s">
        <v>66</v>
      </c>
      <c r="BE116" s="70" t="s">
        <v>66</v>
      </c>
      <c r="BF116" s="114" t="str">
        <f t="shared" si="14"/>
        <v>..</v>
      </c>
      <c r="BG116" s="73"/>
      <c r="BH116" s="73"/>
      <c r="BI116" s="71" t="s">
        <v>66</v>
      </c>
      <c r="BJ116" s="71" t="s">
        <v>66</v>
      </c>
      <c r="BK116" s="71" t="s">
        <v>66</v>
      </c>
      <c r="BL116" s="116" t="s">
        <v>66</v>
      </c>
    </row>
    <row r="117" spans="1:64" s="13" customFormat="1" x14ac:dyDescent="0.2">
      <c r="A117" s="13" t="str">
        <f t="shared" si="9"/>
        <v>1995Q4</v>
      </c>
      <c r="B117" s="11">
        <f>B116</f>
        <v>1995</v>
      </c>
      <c r="C117" s="11" t="s">
        <v>4</v>
      </c>
      <c r="D117" s="43">
        <v>1415</v>
      </c>
      <c r="E117" s="43">
        <v>2329</v>
      </c>
      <c r="F117" s="87">
        <f t="shared" si="10"/>
        <v>3744</v>
      </c>
      <c r="G117" s="41">
        <v>955322</v>
      </c>
      <c r="H117" s="41">
        <v>1080853</v>
      </c>
      <c r="I117" s="93">
        <f t="shared" si="16"/>
        <v>125531</v>
      </c>
      <c r="J117" s="95">
        <f t="shared" si="22"/>
        <v>1.5503350962493483</v>
      </c>
      <c r="K117" s="95">
        <f t="shared" si="23"/>
        <v>1.3586865718237511</v>
      </c>
      <c r="L117" s="50">
        <v>709</v>
      </c>
      <c r="M117" s="50">
        <v>34</v>
      </c>
      <c r="N117" s="42" t="s">
        <v>67</v>
      </c>
      <c r="O117" s="42" t="s">
        <v>67</v>
      </c>
      <c r="P117" s="51">
        <v>75</v>
      </c>
      <c r="Q117" s="98">
        <v>5207</v>
      </c>
      <c r="R117" s="42" t="s">
        <v>67</v>
      </c>
      <c r="S117" s="42" t="s">
        <v>66</v>
      </c>
      <c r="T117" s="92" t="s">
        <v>66</v>
      </c>
      <c r="U117" s="42" t="s">
        <v>66</v>
      </c>
      <c r="V117" s="92" t="s">
        <v>66</v>
      </c>
      <c r="W117" s="50">
        <v>3093</v>
      </c>
      <c r="X117" s="92" t="s">
        <v>66</v>
      </c>
      <c r="Y117" s="102">
        <v>2114</v>
      </c>
      <c r="Z117" s="92" t="s">
        <v>66</v>
      </c>
      <c r="AA117" s="52">
        <v>1067</v>
      </c>
      <c r="AB117" s="52">
        <v>1</v>
      </c>
      <c r="AC117" s="105">
        <f t="shared" si="20"/>
        <v>6275</v>
      </c>
      <c r="AD117" s="42" t="s">
        <v>66</v>
      </c>
      <c r="AE117" s="48" t="s">
        <v>67</v>
      </c>
      <c r="AF117" s="49" t="str">
        <f t="shared" si="21"/>
        <v>..</v>
      </c>
      <c r="AG117" s="36"/>
      <c r="AH117" s="32"/>
      <c r="AI117" s="108"/>
      <c r="AJ117" s="28"/>
      <c r="AK117" s="25"/>
      <c r="AL117" s="29"/>
      <c r="AM117" s="21"/>
      <c r="AN117" s="19">
        <v>62</v>
      </c>
      <c r="AO117" s="19">
        <v>40</v>
      </c>
      <c r="AP117" s="106">
        <f t="shared" si="8"/>
        <v>102</v>
      </c>
      <c r="AQ117" s="20">
        <v>56854</v>
      </c>
      <c r="AR117" s="20">
        <v>63201</v>
      </c>
      <c r="AS117" s="118">
        <f t="shared" si="18"/>
        <v>0.785228446280403</v>
      </c>
      <c r="AT117" s="118">
        <f t="shared" si="19"/>
        <v>0.70266007026600696</v>
      </c>
      <c r="AU117" s="19" t="s">
        <v>66</v>
      </c>
      <c r="AV117" s="19" t="s">
        <v>66</v>
      </c>
      <c r="AW117" s="19" t="s">
        <v>67</v>
      </c>
      <c r="AX117" s="19" t="s">
        <v>66</v>
      </c>
      <c r="AY117" s="22">
        <v>439</v>
      </c>
      <c r="AZ117" s="22" t="s">
        <v>67</v>
      </c>
      <c r="BA117" s="20">
        <v>116</v>
      </c>
      <c r="BB117" s="106">
        <f t="shared" si="13"/>
        <v>555</v>
      </c>
      <c r="BC117" s="21"/>
      <c r="BD117" s="70" t="s">
        <v>66</v>
      </c>
      <c r="BE117" s="70" t="s">
        <v>66</v>
      </c>
      <c r="BF117" s="114" t="str">
        <f t="shared" si="14"/>
        <v>..</v>
      </c>
      <c r="BG117" s="73"/>
      <c r="BH117" s="73"/>
      <c r="BI117" s="71" t="s">
        <v>66</v>
      </c>
      <c r="BJ117" s="71" t="s">
        <v>66</v>
      </c>
      <c r="BK117" s="71" t="s">
        <v>66</v>
      </c>
      <c r="BL117" s="116" t="s">
        <v>66</v>
      </c>
    </row>
    <row r="118" spans="1:64" s="13" customFormat="1" x14ac:dyDescent="0.2">
      <c r="A118" s="13" t="str">
        <f t="shared" si="9"/>
        <v>1996Q1</v>
      </c>
      <c r="B118" s="11">
        <v>1996</v>
      </c>
      <c r="C118" s="63" t="s">
        <v>1</v>
      </c>
      <c r="D118" s="43">
        <v>1306</v>
      </c>
      <c r="E118" s="43">
        <v>2238</v>
      </c>
      <c r="F118" s="87">
        <f t="shared" si="10"/>
        <v>3544</v>
      </c>
      <c r="G118" s="41">
        <v>966963</v>
      </c>
      <c r="H118" s="41">
        <v>1090098</v>
      </c>
      <c r="I118" s="93">
        <f t="shared" si="16"/>
        <v>123135</v>
      </c>
      <c r="J118" s="95">
        <f t="shared" si="22"/>
        <v>1.505114828654426</v>
      </c>
      <c r="K118" s="95">
        <f t="shared" si="23"/>
        <v>1.3243782961326382</v>
      </c>
      <c r="L118" s="50">
        <v>788</v>
      </c>
      <c r="M118" s="50">
        <v>56</v>
      </c>
      <c r="N118" s="42" t="s">
        <v>67</v>
      </c>
      <c r="O118" s="42" t="s">
        <v>67</v>
      </c>
      <c r="P118" s="51">
        <v>107</v>
      </c>
      <c r="Q118" s="98">
        <v>5862</v>
      </c>
      <c r="R118" s="42" t="s">
        <v>67</v>
      </c>
      <c r="S118" s="42" t="s">
        <v>66</v>
      </c>
      <c r="T118" s="92" t="s">
        <v>66</v>
      </c>
      <c r="U118" s="42" t="s">
        <v>66</v>
      </c>
      <c r="V118" s="92" t="s">
        <v>66</v>
      </c>
      <c r="W118" s="50">
        <v>3414</v>
      </c>
      <c r="X118" s="92" t="s">
        <v>66</v>
      </c>
      <c r="Y118" s="102">
        <v>2448</v>
      </c>
      <c r="Z118" s="92" t="s">
        <v>66</v>
      </c>
      <c r="AA118" s="52">
        <v>1119</v>
      </c>
      <c r="AB118" s="52">
        <v>1</v>
      </c>
      <c r="AC118" s="105">
        <f t="shared" si="20"/>
        <v>6982</v>
      </c>
      <c r="AD118" s="42" t="s">
        <v>66</v>
      </c>
      <c r="AE118" s="48" t="s">
        <v>67</v>
      </c>
      <c r="AF118" s="49" t="str">
        <f t="shared" si="21"/>
        <v>..</v>
      </c>
      <c r="AG118" s="36"/>
      <c r="AH118" s="32"/>
      <c r="AI118" s="108"/>
      <c r="AJ118" s="28"/>
      <c r="AK118" s="25"/>
      <c r="AL118" s="29"/>
      <c r="AM118" s="21"/>
      <c r="AN118" s="19">
        <v>66</v>
      </c>
      <c r="AO118" s="19">
        <v>38</v>
      </c>
      <c r="AP118" s="106">
        <f t="shared" ref="AP118:AP181" si="24">AN118+AO118</f>
        <v>104</v>
      </c>
      <c r="AQ118" s="20">
        <v>57271</v>
      </c>
      <c r="AR118" s="20">
        <v>62867</v>
      </c>
      <c r="AS118" s="118">
        <f t="shared" si="18"/>
        <v>0.72007200720072007</v>
      </c>
      <c r="AT118" s="118">
        <f t="shared" si="19"/>
        <v>0.6482673149339816</v>
      </c>
      <c r="AU118" s="19" t="s">
        <v>66</v>
      </c>
      <c r="AV118" s="19" t="s">
        <v>66</v>
      </c>
      <c r="AW118" s="19" t="s">
        <v>67</v>
      </c>
      <c r="AX118" s="19" t="s">
        <v>66</v>
      </c>
      <c r="AY118" s="22">
        <v>623</v>
      </c>
      <c r="AZ118" s="22" t="s">
        <v>67</v>
      </c>
      <c r="BA118" s="20">
        <v>126</v>
      </c>
      <c r="BB118" s="106">
        <f t="shared" si="13"/>
        <v>749</v>
      </c>
      <c r="BC118" s="21"/>
      <c r="BD118" s="70" t="s">
        <v>66</v>
      </c>
      <c r="BE118" s="70" t="s">
        <v>66</v>
      </c>
      <c r="BF118" s="114" t="str">
        <f t="shared" si="14"/>
        <v>..</v>
      </c>
      <c r="BG118" s="73"/>
      <c r="BH118" s="73"/>
      <c r="BI118" s="71" t="s">
        <v>66</v>
      </c>
      <c r="BJ118" s="71" t="s">
        <v>66</v>
      </c>
      <c r="BK118" s="71" t="s">
        <v>66</v>
      </c>
      <c r="BL118" s="116" t="s">
        <v>66</v>
      </c>
    </row>
    <row r="119" spans="1:64" s="13" customFormat="1" x14ac:dyDescent="0.2">
      <c r="A119" s="13" t="str">
        <f t="shared" si="9"/>
        <v>1996Q2</v>
      </c>
      <c r="B119" s="11">
        <f>B118</f>
        <v>1996</v>
      </c>
      <c r="C119" s="11" t="s">
        <v>2</v>
      </c>
      <c r="D119" s="43">
        <v>1270</v>
      </c>
      <c r="E119" s="43">
        <v>2063</v>
      </c>
      <c r="F119" s="87">
        <f t="shared" si="10"/>
        <v>3333</v>
      </c>
      <c r="G119" s="41">
        <v>987637</v>
      </c>
      <c r="H119" s="41">
        <v>1106499</v>
      </c>
      <c r="I119" s="93">
        <f t="shared" si="16"/>
        <v>118862</v>
      </c>
      <c r="J119" s="95">
        <f t="shared" si="22"/>
        <v>1.480023678717195</v>
      </c>
      <c r="K119" s="95">
        <f t="shared" si="23"/>
        <v>1.310015468588378</v>
      </c>
      <c r="L119" s="50">
        <v>649</v>
      </c>
      <c r="M119" s="50">
        <v>45</v>
      </c>
      <c r="N119" s="42" t="s">
        <v>67</v>
      </c>
      <c r="O119" s="42" t="s">
        <v>67</v>
      </c>
      <c r="P119" s="51">
        <v>120</v>
      </c>
      <c r="Q119" s="98">
        <v>5443</v>
      </c>
      <c r="R119" s="42" t="s">
        <v>67</v>
      </c>
      <c r="S119" s="42" t="s">
        <v>66</v>
      </c>
      <c r="T119" s="92" t="s">
        <v>66</v>
      </c>
      <c r="U119" s="42" t="s">
        <v>66</v>
      </c>
      <c r="V119" s="92" t="s">
        <v>66</v>
      </c>
      <c r="W119" s="50">
        <v>3154</v>
      </c>
      <c r="X119" s="92" t="s">
        <v>66</v>
      </c>
      <c r="Y119" s="102">
        <v>2289</v>
      </c>
      <c r="Z119" s="92" t="s">
        <v>66</v>
      </c>
      <c r="AA119" s="52">
        <v>1082</v>
      </c>
      <c r="AB119" s="52">
        <v>1</v>
      </c>
      <c r="AC119" s="105">
        <f t="shared" si="20"/>
        <v>6526</v>
      </c>
      <c r="AD119" s="42" t="s">
        <v>66</v>
      </c>
      <c r="AE119" s="48" t="s">
        <v>67</v>
      </c>
      <c r="AF119" s="49" t="str">
        <f t="shared" si="21"/>
        <v>..</v>
      </c>
      <c r="AG119" s="36"/>
      <c r="AH119" s="32"/>
      <c r="AI119" s="108"/>
      <c r="AJ119" s="28"/>
      <c r="AK119" s="25"/>
      <c r="AL119" s="29"/>
      <c r="AM119" s="21"/>
      <c r="AN119" s="19">
        <v>69</v>
      </c>
      <c r="AO119" s="19">
        <v>52</v>
      </c>
      <c r="AP119" s="106">
        <f t="shared" si="24"/>
        <v>121</v>
      </c>
      <c r="AQ119" s="20">
        <v>58083</v>
      </c>
      <c r="AR119" s="20">
        <v>64532</v>
      </c>
      <c r="AS119" s="118">
        <f t="shared" si="18"/>
        <v>0.72301781348236116</v>
      </c>
      <c r="AT119" s="118">
        <f t="shared" si="19"/>
        <v>0.65335753176043554</v>
      </c>
      <c r="AU119" s="19" t="s">
        <v>66</v>
      </c>
      <c r="AV119" s="19" t="s">
        <v>66</v>
      </c>
      <c r="AW119" s="19" t="s">
        <v>67</v>
      </c>
      <c r="AX119" s="19" t="s">
        <v>66</v>
      </c>
      <c r="AY119" s="22">
        <v>623</v>
      </c>
      <c r="AZ119" s="22" t="s">
        <v>67</v>
      </c>
      <c r="BA119" s="20">
        <v>154</v>
      </c>
      <c r="BB119" s="106">
        <f t="shared" si="13"/>
        <v>777</v>
      </c>
      <c r="BC119" s="21"/>
      <c r="BD119" s="70" t="s">
        <v>66</v>
      </c>
      <c r="BE119" s="70" t="s">
        <v>66</v>
      </c>
      <c r="BF119" s="114" t="str">
        <f t="shared" si="14"/>
        <v>..</v>
      </c>
      <c r="BG119" s="73"/>
      <c r="BH119" s="73"/>
      <c r="BI119" s="71" t="s">
        <v>66</v>
      </c>
      <c r="BJ119" s="71" t="s">
        <v>66</v>
      </c>
      <c r="BK119" s="71" t="s">
        <v>66</v>
      </c>
      <c r="BL119" s="116" t="s">
        <v>66</v>
      </c>
    </row>
    <row r="120" spans="1:64" s="13" customFormat="1" x14ac:dyDescent="0.2">
      <c r="A120" s="13" t="str">
        <f t="shared" si="9"/>
        <v>1996Q3</v>
      </c>
      <c r="B120" s="11">
        <f>B119</f>
        <v>1996</v>
      </c>
      <c r="C120" s="11" t="s">
        <v>3</v>
      </c>
      <c r="D120" s="43">
        <v>1246</v>
      </c>
      <c r="E120" s="43">
        <v>2053</v>
      </c>
      <c r="F120" s="87">
        <f t="shared" si="10"/>
        <v>3299</v>
      </c>
      <c r="G120" s="41">
        <v>1007717</v>
      </c>
      <c r="H120" s="41">
        <v>1119712</v>
      </c>
      <c r="I120" s="93">
        <f t="shared" si="16"/>
        <v>111995</v>
      </c>
      <c r="J120" s="95">
        <f t="shared" si="22"/>
        <v>1.4212641848827827</v>
      </c>
      <c r="K120" s="95">
        <f t="shared" si="23"/>
        <v>1.2662712904368771</v>
      </c>
      <c r="L120" s="50">
        <v>621</v>
      </c>
      <c r="M120" s="50">
        <v>60</v>
      </c>
      <c r="N120" s="42" t="s">
        <v>67</v>
      </c>
      <c r="O120" s="42" t="s">
        <v>67</v>
      </c>
      <c r="P120" s="51">
        <v>87</v>
      </c>
      <c r="Q120" s="98">
        <v>5446</v>
      </c>
      <c r="R120" s="42" t="s">
        <v>67</v>
      </c>
      <c r="S120" s="42" t="s">
        <v>66</v>
      </c>
      <c r="T120" s="92" t="s">
        <v>66</v>
      </c>
      <c r="U120" s="42" t="s">
        <v>66</v>
      </c>
      <c r="V120" s="92" t="s">
        <v>66</v>
      </c>
      <c r="W120" s="50">
        <v>3250</v>
      </c>
      <c r="X120" s="92" t="s">
        <v>66</v>
      </c>
      <c r="Y120" s="102">
        <v>2196</v>
      </c>
      <c r="Z120" s="92" t="s">
        <v>66</v>
      </c>
      <c r="AA120" s="52">
        <v>1065</v>
      </c>
      <c r="AB120" s="52">
        <v>0</v>
      </c>
      <c r="AC120" s="105">
        <f t="shared" si="20"/>
        <v>6511</v>
      </c>
      <c r="AD120" s="42" t="s">
        <v>66</v>
      </c>
      <c r="AE120" s="48" t="s">
        <v>67</v>
      </c>
      <c r="AF120" s="49" t="str">
        <f t="shared" si="21"/>
        <v>..</v>
      </c>
      <c r="AG120" s="36"/>
      <c r="AH120" s="32"/>
      <c r="AI120" s="108"/>
      <c r="AJ120" s="28"/>
      <c r="AK120" s="25"/>
      <c r="AL120" s="29"/>
      <c r="AM120" s="21"/>
      <c r="AN120" s="19">
        <v>71</v>
      </c>
      <c r="AO120" s="19">
        <v>41</v>
      </c>
      <c r="AP120" s="106">
        <f t="shared" si="24"/>
        <v>112</v>
      </c>
      <c r="AQ120" s="20">
        <v>59097</v>
      </c>
      <c r="AR120" s="20">
        <v>65030</v>
      </c>
      <c r="AS120" s="118">
        <f t="shared" si="18"/>
        <v>0.75917079181167724</v>
      </c>
      <c r="AT120" s="118">
        <f t="shared" si="19"/>
        <v>0.68693032899111994</v>
      </c>
      <c r="AU120" s="19" t="s">
        <v>66</v>
      </c>
      <c r="AV120" s="19" t="s">
        <v>66</v>
      </c>
      <c r="AW120" s="19" t="s">
        <v>67</v>
      </c>
      <c r="AX120" s="19" t="s">
        <v>66</v>
      </c>
      <c r="AY120" s="22">
        <v>625</v>
      </c>
      <c r="AZ120" s="22" t="s">
        <v>67</v>
      </c>
      <c r="BA120" s="20">
        <v>122</v>
      </c>
      <c r="BB120" s="106">
        <f t="shared" si="13"/>
        <v>747</v>
      </c>
      <c r="BC120" s="21"/>
      <c r="BD120" s="70" t="s">
        <v>66</v>
      </c>
      <c r="BE120" s="70" t="s">
        <v>66</v>
      </c>
      <c r="BF120" s="114" t="str">
        <f t="shared" si="14"/>
        <v>..</v>
      </c>
      <c r="BG120" s="73"/>
      <c r="BH120" s="73"/>
      <c r="BI120" s="71" t="s">
        <v>66</v>
      </c>
      <c r="BJ120" s="71" t="s">
        <v>66</v>
      </c>
      <c r="BK120" s="71" t="s">
        <v>66</v>
      </c>
      <c r="BL120" s="116" t="s">
        <v>66</v>
      </c>
    </row>
    <row r="121" spans="1:64" s="13" customFormat="1" x14ac:dyDescent="0.2">
      <c r="A121" s="13" t="str">
        <f t="shared" si="9"/>
        <v>1996Q4</v>
      </c>
      <c r="B121" s="11">
        <f>B120</f>
        <v>1996</v>
      </c>
      <c r="C121" s="11" t="s">
        <v>4</v>
      </c>
      <c r="D121" s="43">
        <v>1258</v>
      </c>
      <c r="E121" s="43">
        <v>2027</v>
      </c>
      <c r="F121" s="87">
        <f t="shared" si="10"/>
        <v>3285</v>
      </c>
      <c r="G121" s="41">
        <v>1014606</v>
      </c>
      <c r="H121" s="41">
        <v>1125133</v>
      </c>
      <c r="I121" s="93">
        <f t="shared" si="16"/>
        <v>110527</v>
      </c>
      <c r="J121" s="95">
        <f t="shared" si="22"/>
        <v>1.3539110513329022</v>
      </c>
      <c r="K121" s="95">
        <f t="shared" si="23"/>
        <v>1.212308975328283</v>
      </c>
      <c r="L121" s="50">
        <v>643</v>
      </c>
      <c r="M121" s="50">
        <v>49</v>
      </c>
      <c r="N121" s="42" t="s">
        <v>67</v>
      </c>
      <c r="O121" s="42" t="s">
        <v>67</v>
      </c>
      <c r="P121" s="51">
        <v>145</v>
      </c>
      <c r="Q121" s="98">
        <v>5052</v>
      </c>
      <c r="R121" s="42" t="s">
        <v>67</v>
      </c>
      <c r="S121" s="42" t="s">
        <v>66</v>
      </c>
      <c r="T121" s="92" t="s">
        <v>66</v>
      </c>
      <c r="U121" s="42" t="s">
        <v>66</v>
      </c>
      <c r="V121" s="92" t="s">
        <v>66</v>
      </c>
      <c r="W121" s="50">
        <v>2849</v>
      </c>
      <c r="X121" s="92" t="s">
        <v>66</v>
      </c>
      <c r="Y121" s="102">
        <v>2203</v>
      </c>
      <c r="Z121" s="92" t="s">
        <v>66</v>
      </c>
      <c r="AA121" s="52">
        <v>1200</v>
      </c>
      <c r="AB121" s="52">
        <v>0</v>
      </c>
      <c r="AC121" s="105">
        <f t="shared" si="20"/>
        <v>6252</v>
      </c>
      <c r="AD121" s="42" t="s">
        <v>66</v>
      </c>
      <c r="AE121" s="48" t="s">
        <v>67</v>
      </c>
      <c r="AF121" s="49" t="str">
        <f t="shared" si="21"/>
        <v>..</v>
      </c>
      <c r="AG121" s="36"/>
      <c r="AH121" s="32"/>
      <c r="AI121" s="108"/>
      <c r="AJ121" s="28"/>
      <c r="AK121" s="25"/>
      <c r="AL121" s="29"/>
      <c r="AM121" s="21"/>
      <c r="AN121" s="19">
        <v>60</v>
      </c>
      <c r="AO121" s="19">
        <v>44</v>
      </c>
      <c r="AP121" s="106">
        <f t="shared" si="24"/>
        <v>104</v>
      </c>
      <c r="AQ121" s="20">
        <v>59352</v>
      </c>
      <c r="AR121" s="20">
        <v>65108</v>
      </c>
      <c r="AS121" s="118">
        <f t="shared" si="18"/>
        <v>0.75448133685196517</v>
      </c>
      <c r="AT121" s="118">
        <f t="shared" si="19"/>
        <v>0.68495012367155017</v>
      </c>
      <c r="AU121" s="19" t="s">
        <v>66</v>
      </c>
      <c r="AV121" s="19" t="s">
        <v>66</v>
      </c>
      <c r="AW121" s="19" t="s">
        <v>67</v>
      </c>
      <c r="AX121" s="19" t="s">
        <v>66</v>
      </c>
      <c r="AY121" s="22">
        <v>632</v>
      </c>
      <c r="AZ121" s="22" t="s">
        <v>67</v>
      </c>
      <c r="BA121" s="20">
        <v>130</v>
      </c>
      <c r="BB121" s="106">
        <f t="shared" si="13"/>
        <v>762</v>
      </c>
      <c r="BC121" s="21"/>
      <c r="BD121" s="70" t="s">
        <v>66</v>
      </c>
      <c r="BE121" s="70" t="s">
        <v>66</v>
      </c>
      <c r="BF121" s="114" t="str">
        <f t="shared" si="14"/>
        <v>..</v>
      </c>
      <c r="BG121" s="73"/>
      <c r="BH121" s="73"/>
      <c r="BI121" s="71" t="s">
        <v>66</v>
      </c>
      <c r="BJ121" s="71" t="s">
        <v>66</v>
      </c>
      <c r="BK121" s="71" t="s">
        <v>66</v>
      </c>
      <c r="BL121" s="116" t="s">
        <v>66</v>
      </c>
    </row>
    <row r="122" spans="1:64" s="13" customFormat="1" x14ac:dyDescent="0.2">
      <c r="A122" s="13" t="str">
        <f t="shared" si="9"/>
        <v>1997Q1</v>
      </c>
      <c r="B122" s="11">
        <v>1997</v>
      </c>
      <c r="C122" s="63" t="s">
        <v>1</v>
      </c>
      <c r="D122" s="43">
        <v>1232</v>
      </c>
      <c r="E122" s="43">
        <v>1920</v>
      </c>
      <c r="F122" s="87">
        <f t="shared" si="10"/>
        <v>3152</v>
      </c>
      <c r="G122" s="41">
        <v>1021174</v>
      </c>
      <c r="H122" s="41">
        <v>1161646</v>
      </c>
      <c r="I122" s="93">
        <f t="shared" si="16"/>
        <v>140472</v>
      </c>
      <c r="J122" s="95">
        <f t="shared" si="22"/>
        <v>1.2968063081008967</v>
      </c>
      <c r="K122" s="95">
        <f t="shared" si="23"/>
        <v>1.1583451326060992</v>
      </c>
      <c r="L122" s="50">
        <v>578</v>
      </c>
      <c r="M122" s="50">
        <v>58</v>
      </c>
      <c r="N122" s="42" t="s">
        <v>67</v>
      </c>
      <c r="O122" s="42" t="s">
        <v>67</v>
      </c>
      <c r="P122" s="51">
        <v>173</v>
      </c>
      <c r="Q122" s="98">
        <v>5117</v>
      </c>
      <c r="R122" s="42" t="s">
        <v>67</v>
      </c>
      <c r="S122" s="42" t="s">
        <v>66</v>
      </c>
      <c r="T122" s="92" t="s">
        <v>66</v>
      </c>
      <c r="U122" s="42" t="s">
        <v>66</v>
      </c>
      <c r="V122" s="92" t="s">
        <v>66</v>
      </c>
      <c r="W122" s="50">
        <v>2850</v>
      </c>
      <c r="X122" s="92" t="s">
        <v>66</v>
      </c>
      <c r="Y122" s="102">
        <v>2267</v>
      </c>
      <c r="Z122" s="92" t="s">
        <v>66</v>
      </c>
      <c r="AA122" s="52">
        <v>1094</v>
      </c>
      <c r="AB122" s="52">
        <v>0</v>
      </c>
      <c r="AC122" s="105">
        <f t="shared" si="20"/>
        <v>6211</v>
      </c>
      <c r="AD122" s="42" t="s">
        <v>66</v>
      </c>
      <c r="AE122" s="48" t="s">
        <v>67</v>
      </c>
      <c r="AF122" s="49" t="str">
        <f t="shared" si="21"/>
        <v>..</v>
      </c>
      <c r="AG122" s="36"/>
      <c r="AH122" s="32"/>
      <c r="AI122" s="108"/>
      <c r="AJ122" s="28"/>
      <c r="AK122" s="25"/>
      <c r="AL122" s="29"/>
      <c r="AM122" s="21"/>
      <c r="AN122" s="19">
        <v>66</v>
      </c>
      <c r="AO122" s="19">
        <v>60</v>
      </c>
      <c r="AP122" s="106">
        <f t="shared" si="24"/>
        <v>126</v>
      </c>
      <c r="AQ122" s="20">
        <v>61091</v>
      </c>
      <c r="AR122" s="20">
        <v>67415</v>
      </c>
      <c r="AS122" s="118">
        <f t="shared" si="18"/>
        <v>0.77938583386288363</v>
      </c>
      <c r="AT122" s="118">
        <f t="shared" si="19"/>
        <v>0.70664097525611924</v>
      </c>
      <c r="AU122" s="19" t="s">
        <v>66</v>
      </c>
      <c r="AV122" s="19" t="s">
        <v>66</v>
      </c>
      <c r="AW122" s="19" t="s">
        <v>67</v>
      </c>
      <c r="AX122" s="19" t="s">
        <v>66</v>
      </c>
      <c r="AY122" s="22">
        <v>619</v>
      </c>
      <c r="AZ122" s="22" t="s">
        <v>67</v>
      </c>
      <c r="BA122" s="20">
        <v>130</v>
      </c>
      <c r="BB122" s="106">
        <f t="shared" si="13"/>
        <v>749</v>
      </c>
      <c r="BC122" s="21"/>
      <c r="BD122" s="70" t="s">
        <v>66</v>
      </c>
      <c r="BE122" s="70" t="s">
        <v>66</v>
      </c>
      <c r="BF122" s="114" t="str">
        <f t="shared" si="14"/>
        <v>..</v>
      </c>
      <c r="BG122" s="73"/>
      <c r="BH122" s="73"/>
      <c r="BI122" s="71" t="s">
        <v>66</v>
      </c>
      <c r="BJ122" s="71" t="s">
        <v>66</v>
      </c>
      <c r="BK122" s="71" t="s">
        <v>66</v>
      </c>
      <c r="BL122" s="116" t="s">
        <v>66</v>
      </c>
    </row>
    <row r="123" spans="1:64" s="13" customFormat="1" x14ac:dyDescent="0.2">
      <c r="A123" s="13" t="str">
        <f t="shared" si="9"/>
        <v>1997Q2</v>
      </c>
      <c r="B123" s="11">
        <f>B122</f>
        <v>1997</v>
      </c>
      <c r="C123" s="11" t="s">
        <v>2</v>
      </c>
      <c r="D123" s="43">
        <v>1276</v>
      </c>
      <c r="E123" s="43">
        <v>1866</v>
      </c>
      <c r="F123" s="87">
        <f t="shared" si="10"/>
        <v>3142</v>
      </c>
      <c r="G123" s="41">
        <v>1045075</v>
      </c>
      <c r="H123" s="41">
        <v>1190134</v>
      </c>
      <c r="I123" s="93">
        <f t="shared" si="16"/>
        <v>145059</v>
      </c>
      <c r="J123" s="95">
        <f t="shared" si="22"/>
        <v>1.2599019902303297</v>
      </c>
      <c r="K123" s="95">
        <f t="shared" si="23"/>
        <v>1.1206483017431268</v>
      </c>
      <c r="L123" s="50">
        <v>428</v>
      </c>
      <c r="M123" s="50">
        <v>44</v>
      </c>
      <c r="N123" s="42" t="s">
        <v>67</v>
      </c>
      <c r="O123" s="42" t="s">
        <v>67</v>
      </c>
      <c r="P123" s="51">
        <v>150</v>
      </c>
      <c r="Q123" s="98">
        <v>5278</v>
      </c>
      <c r="R123" s="42" t="s">
        <v>67</v>
      </c>
      <c r="S123" s="42" t="s">
        <v>66</v>
      </c>
      <c r="T123" s="92" t="s">
        <v>66</v>
      </c>
      <c r="U123" s="42" t="s">
        <v>66</v>
      </c>
      <c r="V123" s="92" t="s">
        <v>66</v>
      </c>
      <c r="W123" s="50">
        <v>3097</v>
      </c>
      <c r="X123" s="92" t="s">
        <v>66</v>
      </c>
      <c r="Y123" s="102">
        <v>2181</v>
      </c>
      <c r="Z123" s="92" t="s">
        <v>66</v>
      </c>
      <c r="AA123" s="52">
        <v>1199</v>
      </c>
      <c r="AB123" s="52">
        <v>1</v>
      </c>
      <c r="AC123" s="105">
        <f t="shared" si="20"/>
        <v>6478</v>
      </c>
      <c r="AD123" s="42" t="s">
        <v>66</v>
      </c>
      <c r="AE123" s="48" t="s">
        <v>67</v>
      </c>
      <c r="AF123" s="49" t="str">
        <f t="shared" si="21"/>
        <v>..</v>
      </c>
      <c r="AG123" s="36"/>
      <c r="AH123" s="32"/>
      <c r="AI123" s="108"/>
      <c r="AJ123" s="28"/>
      <c r="AK123" s="25"/>
      <c r="AL123" s="29"/>
      <c r="AM123" s="21"/>
      <c r="AN123" s="19">
        <v>66</v>
      </c>
      <c r="AO123" s="19">
        <v>59</v>
      </c>
      <c r="AP123" s="106">
        <f t="shared" si="24"/>
        <v>125</v>
      </c>
      <c r="AQ123" s="20">
        <v>62421</v>
      </c>
      <c r="AR123" s="20">
        <v>69181</v>
      </c>
      <c r="AS123" s="118">
        <f t="shared" si="18"/>
        <v>0.77202524373762715</v>
      </c>
      <c r="AT123" s="118">
        <f t="shared" si="19"/>
        <v>0.70032316839997899</v>
      </c>
      <c r="AU123" s="19" t="s">
        <v>66</v>
      </c>
      <c r="AV123" s="19" t="s">
        <v>66</v>
      </c>
      <c r="AW123" s="19" t="s">
        <v>67</v>
      </c>
      <c r="AX123" s="19" t="s">
        <v>66</v>
      </c>
      <c r="AY123" s="22">
        <v>658</v>
      </c>
      <c r="AZ123" s="22" t="s">
        <v>67</v>
      </c>
      <c r="BA123" s="20">
        <v>207</v>
      </c>
      <c r="BB123" s="106">
        <f t="shared" si="13"/>
        <v>865</v>
      </c>
      <c r="BC123" s="21"/>
      <c r="BD123" s="70" t="s">
        <v>66</v>
      </c>
      <c r="BE123" s="70" t="s">
        <v>66</v>
      </c>
      <c r="BF123" s="114" t="str">
        <f t="shared" si="14"/>
        <v>..</v>
      </c>
      <c r="BG123" s="73"/>
      <c r="BH123" s="73"/>
      <c r="BI123" s="71" t="s">
        <v>66</v>
      </c>
      <c r="BJ123" s="71" t="s">
        <v>66</v>
      </c>
      <c r="BK123" s="71" t="s">
        <v>66</v>
      </c>
      <c r="BL123" s="116" t="s">
        <v>66</v>
      </c>
    </row>
    <row r="124" spans="1:64" s="13" customFormat="1" x14ac:dyDescent="0.2">
      <c r="A124" s="13" t="str">
        <f t="shared" si="9"/>
        <v>1997Q3</v>
      </c>
      <c r="B124" s="11">
        <f>B123</f>
        <v>1997</v>
      </c>
      <c r="C124" s="11" t="s">
        <v>3</v>
      </c>
      <c r="D124" s="43">
        <v>1155</v>
      </c>
      <c r="E124" s="43">
        <v>1993</v>
      </c>
      <c r="F124" s="87">
        <f t="shared" si="10"/>
        <v>3148</v>
      </c>
      <c r="G124" s="41">
        <v>1071031</v>
      </c>
      <c r="H124" s="41">
        <v>1204307</v>
      </c>
      <c r="I124" s="93">
        <f t="shared" si="16"/>
        <v>133276</v>
      </c>
      <c r="J124" s="95">
        <f t="shared" si="22"/>
        <v>1.226141565543948</v>
      </c>
      <c r="K124" s="95">
        <f t="shared" si="23"/>
        <v>1.0874942856776653</v>
      </c>
      <c r="L124" s="50">
        <v>425</v>
      </c>
      <c r="M124" s="50">
        <v>42</v>
      </c>
      <c r="N124" s="42" t="s">
        <v>67</v>
      </c>
      <c r="O124" s="42" t="s">
        <v>67</v>
      </c>
      <c r="P124" s="51">
        <v>178</v>
      </c>
      <c r="Q124" s="98">
        <v>4958</v>
      </c>
      <c r="R124" s="42" t="s">
        <v>67</v>
      </c>
      <c r="S124" s="42" t="s">
        <v>66</v>
      </c>
      <c r="T124" s="92" t="s">
        <v>66</v>
      </c>
      <c r="U124" s="42" t="s">
        <v>66</v>
      </c>
      <c r="V124" s="92" t="s">
        <v>66</v>
      </c>
      <c r="W124" s="50">
        <v>2804</v>
      </c>
      <c r="X124" s="92" t="s">
        <v>66</v>
      </c>
      <c r="Y124" s="102">
        <v>2154</v>
      </c>
      <c r="Z124" s="92" t="s">
        <v>66</v>
      </c>
      <c r="AA124" s="52">
        <v>1191</v>
      </c>
      <c r="AB124" s="52">
        <v>3</v>
      </c>
      <c r="AC124" s="105">
        <f t="shared" si="20"/>
        <v>6152</v>
      </c>
      <c r="AD124" s="42" t="s">
        <v>66</v>
      </c>
      <c r="AE124" s="48" t="s">
        <v>67</v>
      </c>
      <c r="AF124" s="49" t="str">
        <f t="shared" si="21"/>
        <v>..</v>
      </c>
      <c r="AG124" s="36"/>
      <c r="AH124" s="32"/>
      <c r="AI124" s="108"/>
      <c r="AJ124" s="28"/>
      <c r="AK124" s="25"/>
      <c r="AL124" s="29"/>
      <c r="AM124" s="21"/>
      <c r="AN124" s="19">
        <v>61</v>
      </c>
      <c r="AO124" s="19">
        <v>56</v>
      </c>
      <c r="AP124" s="106">
        <f t="shared" si="24"/>
        <v>117</v>
      </c>
      <c r="AQ124" s="20">
        <v>63555</v>
      </c>
      <c r="AR124" s="20">
        <v>70361</v>
      </c>
      <c r="AS124" s="118">
        <f t="shared" ref="AS124:AS155" si="25">4*(SUM($AP121:$AP124)/SUM(AQ121:AQ124))*100</f>
        <v>0.76617468620520335</v>
      </c>
      <c r="AT124" s="118">
        <f t="shared" ref="AT124:AT155" si="26">4*(SUM($AP121:$AP124)/SUM(AR121:AR124))*100</f>
        <v>0.69395181298586739</v>
      </c>
      <c r="AU124" s="19" t="s">
        <v>66</v>
      </c>
      <c r="AV124" s="19" t="s">
        <v>66</v>
      </c>
      <c r="AW124" s="19" t="s">
        <v>67</v>
      </c>
      <c r="AX124" s="19" t="s">
        <v>66</v>
      </c>
      <c r="AY124" s="22">
        <v>589</v>
      </c>
      <c r="AZ124" s="22" t="s">
        <v>67</v>
      </c>
      <c r="BA124" s="20">
        <v>153</v>
      </c>
      <c r="BB124" s="106">
        <f t="shared" si="13"/>
        <v>742</v>
      </c>
      <c r="BC124" s="21"/>
      <c r="BD124" s="70" t="s">
        <v>66</v>
      </c>
      <c r="BE124" s="70" t="s">
        <v>66</v>
      </c>
      <c r="BF124" s="114" t="str">
        <f t="shared" si="14"/>
        <v>..</v>
      </c>
      <c r="BG124" s="73"/>
      <c r="BH124" s="73"/>
      <c r="BI124" s="71" t="s">
        <v>66</v>
      </c>
      <c r="BJ124" s="71" t="s">
        <v>66</v>
      </c>
      <c r="BK124" s="71" t="s">
        <v>66</v>
      </c>
      <c r="BL124" s="116" t="s">
        <v>66</v>
      </c>
    </row>
    <row r="125" spans="1:64" s="13" customFormat="1" x14ac:dyDescent="0.2">
      <c r="A125" s="13" t="str">
        <f t="shared" si="9"/>
        <v>1997Q4</v>
      </c>
      <c r="B125" s="11">
        <f>B124</f>
        <v>1997</v>
      </c>
      <c r="C125" s="11" t="s">
        <v>4</v>
      </c>
      <c r="D125" s="43">
        <v>1072</v>
      </c>
      <c r="E125" s="43">
        <v>2096</v>
      </c>
      <c r="F125" s="87">
        <f t="shared" si="10"/>
        <v>3168</v>
      </c>
      <c r="G125" s="41">
        <v>1091046</v>
      </c>
      <c r="H125" s="41">
        <v>1222951</v>
      </c>
      <c r="I125" s="93">
        <f t="shared" si="16"/>
        <v>131905</v>
      </c>
      <c r="J125" s="95">
        <f t="shared" si="22"/>
        <v>1.1929070748092745</v>
      </c>
      <c r="K125" s="95">
        <f t="shared" si="23"/>
        <v>1.055442538854054</v>
      </c>
      <c r="L125" s="50">
        <v>406</v>
      </c>
      <c r="M125" s="50">
        <v>52</v>
      </c>
      <c r="N125" s="42" t="s">
        <v>67</v>
      </c>
      <c r="O125" s="42" t="s">
        <v>67</v>
      </c>
      <c r="P125" s="51">
        <v>128</v>
      </c>
      <c r="Q125" s="98">
        <v>4539</v>
      </c>
      <c r="R125" s="42" t="s">
        <v>67</v>
      </c>
      <c r="S125" s="42" t="s">
        <v>66</v>
      </c>
      <c r="T125" s="92" t="s">
        <v>66</v>
      </c>
      <c r="U125" s="42" t="s">
        <v>66</v>
      </c>
      <c r="V125" s="92" t="s">
        <v>66</v>
      </c>
      <c r="W125" s="50">
        <v>2518</v>
      </c>
      <c r="X125" s="92" t="s">
        <v>66</v>
      </c>
      <c r="Y125" s="102">
        <v>2021</v>
      </c>
      <c r="Z125" s="92" t="s">
        <v>66</v>
      </c>
      <c r="AA125" s="52">
        <v>1061</v>
      </c>
      <c r="AB125" s="52">
        <v>0</v>
      </c>
      <c r="AC125" s="105">
        <f t="shared" si="20"/>
        <v>5600</v>
      </c>
      <c r="AD125" s="42" t="s">
        <v>66</v>
      </c>
      <c r="AE125" s="48" t="s">
        <v>67</v>
      </c>
      <c r="AF125" s="49" t="str">
        <f t="shared" si="21"/>
        <v>..</v>
      </c>
      <c r="AG125" s="36"/>
      <c r="AH125" s="32"/>
      <c r="AI125" s="108"/>
      <c r="AJ125" s="28"/>
      <c r="AK125" s="25"/>
      <c r="AL125" s="29"/>
      <c r="AM125" s="21"/>
      <c r="AN125" s="19">
        <v>61</v>
      </c>
      <c r="AO125" s="19">
        <v>48</v>
      </c>
      <c r="AP125" s="106">
        <f t="shared" si="24"/>
        <v>109</v>
      </c>
      <c r="AQ125" s="20">
        <v>64901</v>
      </c>
      <c r="AR125" s="20">
        <v>71719</v>
      </c>
      <c r="AS125" s="118">
        <f t="shared" si="25"/>
        <v>0.75723901447802888</v>
      </c>
      <c r="AT125" s="118">
        <f t="shared" si="26"/>
        <v>0.68466606381604445</v>
      </c>
      <c r="AU125" s="19" t="s">
        <v>66</v>
      </c>
      <c r="AV125" s="19" t="s">
        <v>66</v>
      </c>
      <c r="AW125" s="19" t="s">
        <v>67</v>
      </c>
      <c r="AX125" s="19" t="s">
        <v>66</v>
      </c>
      <c r="AY125" s="22">
        <v>636</v>
      </c>
      <c r="AZ125" s="22" t="s">
        <v>67</v>
      </c>
      <c r="BA125" s="20">
        <v>196</v>
      </c>
      <c r="BB125" s="106">
        <f t="shared" si="13"/>
        <v>832</v>
      </c>
      <c r="BC125" s="21"/>
      <c r="BD125" s="70" t="s">
        <v>66</v>
      </c>
      <c r="BE125" s="70" t="s">
        <v>66</v>
      </c>
      <c r="BF125" s="114" t="str">
        <f t="shared" si="14"/>
        <v>..</v>
      </c>
      <c r="BG125" s="73"/>
      <c r="BH125" s="73"/>
      <c r="BI125" s="71" t="s">
        <v>66</v>
      </c>
      <c r="BJ125" s="71" t="s">
        <v>66</v>
      </c>
      <c r="BK125" s="71" t="s">
        <v>66</v>
      </c>
      <c r="BL125" s="116" t="s">
        <v>66</v>
      </c>
    </row>
    <row r="126" spans="1:64" x14ac:dyDescent="0.2">
      <c r="A126" s="13" t="str">
        <f t="shared" si="9"/>
        <v>1998Q1</v>
      </c>
      <c r="B126" s="11">
        <v>1998</v>
      </c>
      <c r="C126" s="63" t="s">
        <v>1</v>
      </c>
      <c r="D126" s="44">
        <v>1333</v>
      </c>
      <c r="E126" s="44">
        <v>1932</v>
      </c>
      <c r="F126" s="87">
        <f t="shared" si="10"/>
        <v>3265</v>
      </c>
      <c r="G126" s="41">
        <v>1109839</v>
      </c>
      <c r="H126" s="41">
        <v>1240031</v>
      </c>
      <c r="I126" s="93">
        <f t="shared" si="16"/>
        <v>130192</v>
      </c>
      <c r="J126" s="95">
        <f t="shared" si="22"/>
        <v>1.1788766759068992</v>
      </c>
      <c r="K126" s="95">
        <f t="shared" si="23"/>
        <v>1.0477160420247527</v>
      </c>
      <c r="L126" s="50">
        <v>516</v>
      </c>
      <c r="M126" s="50">
        <v>85</v>
      </c>
      <c r="N126" s="42" t="s">
        <v>67</v>
      </c>
      <c r="O126" s="42" t="s">
        <v>67</v>
      </c>
      <c r="P126" s="51">
        <v>54</v>
      </c>
      <c r="Q126" s="98">
        <v>4938</v>
      </c>
      <c r="R126" s="42" t="s">
        <v>67</v>
      </c>
      <c r="S126" s="50">
        <v>2771</v>
      </c>
      <c r="T126" s="96">
        <f t="shared" ref="T126:T172" si="27">S126/$Q126*100</f>
        <v>56.115836371000405</v>
      </c>
      <c r="U126" s="50">
        <v>2167</v>
      </c>
      <c r="V126" s="96">
        <f t="shared" ref="V126:V172" si="28">U126/$Q126*100</f>
        <v>43.884163628999595</v>
      </c>
      <c r="W126" s="50">
        <v>2637</v>
      </c>
      <c r="X126" s="96">
        <f t="shared" ref="X126:X165" si="29">W126/$Q126*100</f>
        <v>53.402187120291615</v>
      </c>
      <c r="Y126" s="102">
        <v>2301</v>
      </c>
      <c r="Z126" s="96">
        <f t="shared" ref="Z126:Z165" si="30">Y126/$Q126*100</f>
        <v>46.597812879708385</v>
      </c>
      <c r="AA126" s="52">
        <v>1015</v>
      </c>
      <c r="AB126" s="52">
        <v>0</v>
      </c>
      <c r="AC126" s="105">
        <f t="shared" si="20"/>
        <v>5953</v>
      </c>
      <c r="AD126" s="42" t="s">
        <v>66</v>
      </c>
      <c r="AE126" s="48" t="s">
        <v>67</v>
      </c>
      <c r="AF126" s="49" t="str">
        <f t="shared" si="21"/>
        <v>..</v>
      </c>
      <c r="AG126" s="37">
        <v>1290.01</v>
      </c>
      <c r="AH126" s="33">
        <v>1812.12</v>
      </c>
      <c r="AI126" s="109">
        <f t="shared" ref="AI126:AI157" si="31">AG126+AH126</f>
        <v>3102.13</v>
      </c>
      <c r="AJ126" s="26">
        <v>4612.16</v>
      </c>
      <c r="AK126" s="26">
        <v>1081.6300000000001</v>
      </c>
      <c r="AL126" s="69">
        <f t="shared" ref="AL126:AL170" si="32">AJ126+AK126</f>
        <v>5693.79</v>
      </c>
      <c r="AM126" s="24"/>
      <c r="AN126" s="20">
        <v>79</v>
      </c>
      <c r="AO126" s="20">
        <v>71</v>
      </c>
      <c r="AP126" s="106">
        <f t="shared" si="24"/>
        <v>150</v>
      </c>
      <c r="AQ126" s="20">
        <v>65444</v>
      </c>
      <c r="AR126" s="20">
        <v>72315</v>
      </c>
      <c r="AS126" s="118">
        <f t="shared" si="25"/>
        <v>0.78183215577342469</v>
      </c>
      <c r="AT126" s="118">
        <f t="shared" si="26"/>
        <v>0.70668885942392867</v>
      </c>
      <c r="AU126" s="20">
        <v>16</v>
      </c>
      <c r="AV126" s="20">
        <v>2</v>
      </c>
      <c r="AW126" s="19" t="s">
        <v>67</v>
      </c>
      <c r="AX126" s="22">
        <v>0</v>
      </c>
      <c r="AY126" s="22">
        <v>702</v>
      </c>
      <c r="AZ126" s="22" t="s">
        <v>67</v>
      </c>
      <c r="BA126" s="20">
        <v>314</v>
      </c>
      <c r="BB126" s="106">
        <f t="shared" si="13"/>
        <v>1016</v>
      </c>
      <c r="BC126" s="24"/>
      <c r="BD126" s="50">
        <v>17</v>
      </c>
      <c r="BE126" s="70" t="s">
        <v>66</v>
      </c>
      <c r="BF126" s="114" t="str">
        <f t="shared" si="14"/>
        <v>..</v>
      </c>
      <c r="BG126" s="73"/>
      <c r="BH126" s="73"/>
      <c r="BI126" s="72">
        <v>99</v>
      </c>
      <c r="BJ126" s="72">
        <v>31</v>
      </c>
      <c r="BK126" s="71" t="s">
        <v>66</v>
      </c>
      <c r="BL126" s="114">
        <f t="shared" ref="BL126:BL157" si="33">BI126+BJ126</f>
        <v>130</v>
      </c>
    </row>
    <row r="127" spans="1:64" x14ac:dyDescent="0.2">
      <c r="A127" s="13" t="str">
        <f t="shared" si="9"/>
        <v>1998Q2</v>
      </c>
      <c r="B127" s="11">
        <f>B126</f>
        <v>1998</v>
      </c>
      <c r="C127" s="11" t="s">
        <v>2</v>
      </c>
      <c r="D127" s="44">
        <v>1312</v>
      </c>
      <c r="E127" s="44">
        <v>1939</v>
      </c>
      <c r="F127" s="87">
        <f t="shared" si="10"/>
        <v>3251</v>
      </c>
      <c r="G127" s="41">
        <v>1135484</v>
      </c>
      <c r="H127" s="41">
        <v>1267377</v>
      </c>
      <c r="I127" s="93">
        <f t="shared" si="16"/>
        <v>131893</v>
      </c>
      <c r="J127" s="95">
        <f t="shared" si="22"/>
        <v>1.1645868312383718</v>
      </c>
      <c r="K127" s="95">
        <f t="shared" si="23"/>
        <v>1.040151450979661</v>
      </c>
      <c r="L127" s="50">
        <v>395</v>
      </c>
      <c r="M127" s="50">
        <v>46</v>
      </c>
      <c r="N127" s="42" t="s">
        <v>67</v>
      </c>
      <c r="O127" s="42" t="s">
        <v>67</v>
      </c>
      <c r="P127" s="51">
        <v>127</v>
      </c>
      <c r="Q127" s="98">
        <v>4755</v>
      </c>
      <c r="R127" s="42" t="s">
        <v>67</v>
      </c>
      <c r="S127" s="50">
        <v>2476</v>
      </c>
      <c r="T127" s="96">
        <f t="shared" si="27"/>
        <v>52.071503680336484</v>
      </c>
      <c r="U127" s="50">
        <v>2279</v>
      </c>
      <c r="V127" s="96">
        <f t="shared" si="28"/>
        <v>47.928496319663509</v>
      </c>
      <c r="W127" s="50">
        <v>2521</v>
      </c>
      <c r="X127" s="96">
        <f t="shared" si="29"/>
        <v>53.017875920084123</v>
      </c>
      <c r="Y127" s="102">
        <v>2234</v>
      </c>
      <c r="Z127" s="96">
        <f t="shared" si="30"/>
        <v>46.982124079915877</v>
      </c>
      <c r="AA127" s="52">
        <v>1100</v>
      </c>
      <c r="AB127" s="52">
        <v>0</v>
      </c>
      <c r="AC127" s="105">
        <f t="shared" si="20"/>
        <v>5855</v>
      </c>
      <c r="AD127" s="48">
        <v>506</v>
      </c>
      <c r="AE127" s="48" t="s">
        <v>67</v>
      </c>
      <c r="AF127" s="49">
        <f t="shared" si="21"/>
        <v>506</v>
      </c>
      <c r="AG127" s="37">
        <v>1258.18</v>
      </c>
      <c r="AH127" s="33">
        <v>1993.1</v>
      </c>
      <c r="AI127" s="109">
        <f t="shared" si="31"/>
        <v>3251.2799999999997</v>
      </c>
      <c r="AJ127" s="26">
        <v>4675.6400000000003</v>
      </c>
      <c r="AK127" s="26">
        <v>1103.27</v>
      </c>
      <c r="AL127" s="69">
        <f t="shared" si="32"/>
        <v>5778.91</v>
      </c>
      <c r="AM127" s="24"/>
      <c r="AN127" s="20">
        <v>93</v>
      </c>
      <c r="AO127" s="20">
        <v>58</v>
      </c>
      <c r="AP127" s="106">
        <f t="shared" si="24"/>
        <v>151</v>
      </c>
      <c r="AQ127" s="20">
        <v>65887</v>
      </c>
      <c r="AR127" s="20">
        <v>73435</v>
      </c>
      <c r="AS127" s="118">
        <f t="shared" si="25"/>
        <v>0.81143398245485721</v>
      </c>
      <c r="AT127" s="118">
        <f t="shared" si="26"/>
        <v>0.73237675016502801</v>
      </c>
      <c r="AU127" s="20">
        <v>17</v>
      </c>
      <c r="AV127" s="20">
        <v>1</v>
      </c>
      <c r="AW127" s="19" t="s">
        <v>67</v>
      </c>
      <c r="AX127" s="22">
        <v>2</v>
      </c>
      <c r="AY127" s="22">
        <v>756</v>
      </c>
      <c r="AZ127" s="22" t="s">
        <v>67</v>
      </c>
      <c r="BA127" s="20">
        <v>415</v>
      </c>
      <c r="BB127" s="106">
        <f t="shared" si="13"/>
        <v>1171</v>
      </c>
      <c r="BC127" s="24"/>
      <c r="BD127" s="50">
        <v>22</v>
      </c>
      <c r="BE127" s="70" t="s">
        <v>66</v>
      </c>
      <c r="BF127" s="114" t="str">
        <f t="shared" si="14"/>
        <v>..</v>
      </c>
      <c r="BG127" s="73"/>
      <c r="BH127" s="73"/>
      <c r="BI127" s="72">
        <v>118</v>
      </c>
      <c r="BJ127" s="72">
        <v>32</v>
      </c>
      <c r="BK127" s="71" t="s">
        <v>66</v>
      </c>
      <c r="BL127" s="114">
        <f t="shared" si="33"/>
        <v>150</v>
      </c>
    </row>
    <row r="128" spans="1:64" x14ac:dyDescent="0.2">
      <c r="A128" s="13" t="str">
        <f t="shared" si="9"/>
        <v>1998Q3</v>
      </c>
      <c r="B128" s="11">
        <f>B127</f>
        <v>1998</v>
      </c>
      <c r="C128" s="11" t="s">
        <v>3</v>
      </c>
      <c r="D128" s="44">
        <v>1275</v>
      </c>
      <c r="E128" s="44">
        <v>2048</v>
      </c>
      <c r="F128" s="87">
        <f t="shared" si="10"/>
        <v>3323</v>
      </c>
      <c r="G128" s="41">
        <v>1159098</v>
      </c>
      <c r="H128" s="41">
        <v>1289759</v>
      </c>
      <c r="I128" s="93">
        <f t="shared" si="16"/>
        <v>130661</v>
      </c>
      <c r="J128" s="95">
        <f t="shared" si="22"/>
        <v>1.1573436085728135</v>
      </c>
      <c r="K128" s="95">
        <f t="shared" si="23"/>
        <v>1.0363899812713566</v>
      </c>
      <c r="L128" s="50">
        <v>443</v>
      </c>
      <c r="M128" s="50">
        <v>105</v>
      </c>
      <c r="N128" s="42" t="s">
        <v>67</v>
      </c>
      <c r="O128" s="42" t="s">
        <v>67</v>
      </c>
      <c r="P128" s="51">
        <v>153</v>
      </c>
      <c r="Q128" s="98">
        <v>5113</v>
      </c>
      <c r="R128" s="42" t="s">
        <v>67</v>
      </c>
      <c r="S128" s="50">
        <v>2613</v>
      </c>
      <c r="T128" s="96">
        <f t="shared" si="27"/>
        <v>51.105026403285748</v>
      </c>
      <c r="U128" s="50">
        <v>2500</v>
      </c>
      <c r="V128" s="96">
        <f t="shared" si="28"/>
        <v>48.894973596714259</v>
      </c>
      <c r="W128" s="50">
        <v>2672</v>
      </c>
      <c r="X128" s="96">
        <f t="shared" si="29"/>
        <v>52.258947780168199</v>
      </c>
      <c r="Y128" s="102">
        <v>2441</v>
      </c>
      <c r="Z128" s="96">
        <f t="shared" si="30"/>
        <v>47.741052219831801</v>
      </c>
      <c r="AA128" s="52">
        <v>1267</v>
      </c>
      <c r="AB128" s="52">
        <v>1</v>
      </c>
      <c r="AC128" s="105">
        <f t="shared" si="20"/>
        <v>6381</v>
      </c>
      <c r="AD128" s="48">
        <v>648</v>
      </c>
      <c r="AE128" s="48" t="s">
        <v>67</v>
      </c>
      <c r="AF128" s="49">
        <f t="shared" si="21"/>
        <v>648</v>
      </c>
      <c r="AG128" s="37">
        <v>1333.04</v>
      </c>
      <c r="AH128" s="33">
        <v>2060.87</v>
      </c>
      <c r="AI128" s="109">
        <f t="shared" si="31"/>
        <v>3393.91</v>
      </c>
      <c r="AJ128" s="26">
        <v>5087.54</v>
      </c>
      <c r="AK128" s="26">
        <v>1211.1500000000001</v>
      </c>
      <c r="AL128" s="69">
        <f t="shared" si="32"/>
        <v>6298.6900000000005</v>
      </c>
      <c r="AM128" s="24"/>
      <c r="AN128" s="20">
        <v>82</v>
      </c>
      <c r="AO128" s="20">
        <v>42</v>
      </c>
      <c r="AP128" s="106">
        <f t="shared" si="24"/>
        <v>124</v>
      </c>
      <c r="AQ128" s="20">
        <v>67128</v>
      </c>
      <c r="AR128" s="20">
        <v>74652</v>
      </c>
      <c r="AS128" s="118">
        <f t="shared" si="25"/>
        <v>0.81105710814094767</v>
      </c>
      <c r="AT128" s="118">
        <f t="shared" si="26"/>
        <v>0.73120385045922753</v>
      </c>
      <c r="AU128" s="20">
        <v>19</v>
      </c>
      <c r="AV128" s="20">
        <v>0</v>
      </c>
      <c r="AW128" s="19" t="s">
        <v>67</v>
      </c>
      <c r="AX128" s="22">
        <v>0</v>
      </c>
      <c r="AY128" s="22">
        <v>830</v>
      </c>
      <c r="AZ128" s="22" t="s">
        <v>67</v>
      </c>
      <c r="BA128" s="20">
        <v>342</v>
      </c>
      <c r="BB128" s="106">
        <f t="shared" si="13"/>
        <v>1172</v>
      </c>
      <c r="BC128" s="24"/>
      <c r="BD128" s="50">
        <v>12</v>
      </c>
      <c r="BE128" s="70" t="s">
        <v>66</v>
      </c>
      <c r="BF128" s="114" t="str">
        <f t="shared" si="14"/>
        <v>..</v>
      </c>
      <c r="BG128" s="73"/>
      <c r="BH128" s="73"/>
      <c r="BI128" s="72">
        <v>82</v>
      </c>
      <c r="BJ128" s="72">
        <v>26</v>
      </c>
      <c r="BK128" s="71" t="s">
        <v>66</v>
      </c>
      <c r="BL128" s="114">
        <f t="shared" si="33"/>
        <v>108</v>
      </c>
    </row>
    <row r="129" spans="1:64" x14ac:dyDescent="0.2">
      <c r="A129" s="13" t="str">
        <f t="shared" si="9"/>
        <v>1998Q4</v>
      </c>
      <c r="B129" s="11">
        <f>B128</f>
        <v>1998</v>
      </c>
      <c r="C129" s="11" t="s">
        <v>4</v>
      </c>
      <c r="D129" s="44">
        <v>1296</v>
      </c>
      <c r="E129" s="44">
        <v>2068</v>
      </c>
      <c r="F129" s="87">
        <f t="shared" si="10"/>
        <v>3364</v>
      </c>
      <c r="G129" s="41">
        <v>1180605</v>
      </c>
      <c r="H129" s="41">
        <v>1311275</v>
      </c>
      <c r="I129" s="93">
        <f t="shared" si="16"/>
        <v>130670</v>
      </c>
      <c r="J129" s="95">
        <f t="shared" si="22"/>
        <v>1.1518364345153114</v>
      </c>
      <c r="K129" s="95">
        <f t="shared" si="23"/>
        <v>1.0338181386810303</v>
      </c>
      <c r="L129" s="50">
        <v>359</v>
      </c>
      <c r="M129" s="50">
        <v>102</v>
      </c>
      <c r="N129" s="42" t="s">
        <v>67</v>
      </c>
      <c r="O129" s="42" t="s">
        <v>67</v>
      </c>
      <c r="P129" s="51">
        <v>136</v>
      </c>
      <c r="Q129" s="98">
        <v>4841</v>
      </c>
      <c r="R129" s="42" t="s">
        <v>67</v>
      </c>
      <c r="S129" s="50">
        <v>2637</v>
      </c>
      <c r="T129" s="96">
        <f t="shared" si="27"/>
        <v>54.472216484197475</v>
      </c>
      <c r="U129" s="50">
        <v>2204</v>
      </c>
      <c r="V129" s="96">
        <f t="shared" si="28"/>
        <v>45.527783515802525</v>
      </c>
      <c r="W129" s="50">
        <v>2590</v>
      </c>
      <c r="X129" s="96">
        <f t="shared" si="29"/>
        <v>53.50134269778971</v>
      </c>
      <c r="Y129" s="102">
        <v>2251</v>
      </c>
      <c r="Z129" s="96">
        <f t="shared" si="30"/>
        <v>46.49865730221029</v>
      </c>
      <c r="AA129" s="52">
        <v>1520</v>
      </c>
      <c r="AB129" s="52">
        <v>0</v>
      </c>
      <c r="AC129" s="105">
        <f t="shared" si="20"/>
        <v>6361</v>
      </c>
      <c r="AD129" s="48">
        <v>621</v>
      </c>
      <c r="AE129" s="48" t="s">
        <v>67</v>
      </c>
      <c r="AF129" s="49">
        <f t="shared" si="21"/>
        <v>621</v>
      </c>
      <c r="AG129" s="37">
        <v>1334.78</v>
      </c>
      <c r="AH129" s="33">
        <v>2120.91</v>
      </c>
      <c r="AI129" s="109">
        <f t="shared" si="31"/>
        <v>3455.6899999999996</v>
      </c>
      <c r="AJ129" s="26">
        <v>5271.66</v>
      </c>
      <c r="AK129" s="26">
        <v>1505.96</v>
      </c>
      <c r="AL129" s="69">
        <f t="shared" si="32"/>
        <v>6777.62</v>
      </c>
      <c r="AM129" s="24"/>
      <c r="AN129" s="20">
        <v>84</v>
      </c>
      <c r="AO129" s="20">
        <v>57</v>
      </c>
      <c r="AP129" s="106">
        <f t="shared" si="24"/>
        <v>141</v>
      </c>
      <c r="AQ129" s="20">
        <v>67128</v>
      </c>
      <c r="AR129" s="20">
        <v>74652</v>
      </c>
      <c r="AS129" s="118">
        <f t="shared" si="25"/>
        <v>0.85245136245373465</v>
      </c>
      <c r="AT129" s="118">
        <f t="shared" si="26"/>
        <v>0.76731716906057867</v>
      </c>
      <c r="AU129" s="20">
        <v>31</v>
      </c>
      <c r="AV129" s="20">
        <v>0</v>
      </c>
      <c r="AW129" s="19" t="s">
        <v>67</v>
      </c>
      <c r="AX129" s="22">
        <v>0</v>
      </c>
      <c r="AY129" s="22">
        <v>728</v>
      </c>
      <c r="AZ129" s="22" t="s">
        <v>67</v>
      </c>
      <c r="BA129" s="20">
        <v>378</v>
      </c>
      <c r="BB129" s="106">
        <f t="shared" si="13"/>
        <v>1106</v>
      </c>
      <c r="BC129" s="24"/>
      <c r="BD129" s="50">
        <v>12</v>
      </c>
      <c r="BE129" s="70" t="s">
        <v>66</v>
      </c>
      <c r="BF129" s="114" t="str">
        <f t="shared" si="14"/>
        <v>..</v>
      </c>
      <c r="BG129" s="73"/>
      <c r="BH129" s="73"/>
      <c r="BI129" s="72">
        <v>95</v>
      </c>
      <c r="BJ129" s="72">
        <v>34</v>
      </c>
      <c r="BK129" s="71" t="s">
        <v>66</v>
      </c>
      <c r="BL129" s="114">
        <f t="shared" si="33"/>
        <v>129</v>
      </c>
    </row>
    <row r="130" spans="1:64" x14ac:dyDescent="0.2">
      <c r="A130" s="13" t="str">
        <f t="shared" si="9"/>
        <v>1999Q1</v>
      </c>
      <c r="B130" s="11">
        <v>1999</v>
      </c>
      <c r="C130" s="11" t="s">
        <v>1</v>
      </c>
      <c r="D130" s="44">
        <v>1379</v>
      </c>
      <c r="E130" s="44">
        <v>2533</v>
      </c>
      <c r="F130" s="87">
        <f t="shared" si="10"/>
        <v>3912</v>
      </c>
      <c r="G130" s="41">
        <v>1198653</v>
      </c>
      <c r="H130" s="41">
        <v>1333496</v>
      </c>
      <c r="I130" s="93">
        <f t="shared" si="16"/>
        <v>134843</v>
      </c>
      <c r="J130" s="95">
        <f t="shared" si="22"/>
        <v>1.1853208496653715</v>
      </c>
      <c r="K130" s="95">
        <f t="shared" si="23"/>
        <v>1.0649940492976901</v>
      </c>
      <c r="L130" s="50">
        <v>419</v>
      </c>
      <c r="M130" s="50">
        <v>193</v>
      </c>
      <c r="N130" s="42" t="s">
        <v>67</v>
      </c>
      <c r="O130" s="42" t="s">
        <v>67</v>
      </c>
      <c r="P130" s="51">
        <v>106</v>
      </c>
      <c r="Q130" s="98">
        <v>5799</v>
      </c>
      <c r="R130" s="42" t="s">
        <v>67</v>
      </c>
      <c r="S130" s="50">
        <v>3336</v>
      </c>
      <c r="T130" s="96">
        <f t="shared" si="27"/>
        <v>57.527159855147438</v>
      </c>
      <c r="U130" s="50">
        <v>2463</v>
      </c>
      <c r="V130" s="96">
        <f t="shared" si="28"/>
        <v>42.472840144852562</v>
      </c>
      <c r="W130" s="50">
        <v>2996</v>
      </c>
      <c r="X130" s="96">
        <f t="shared" si="29"/>
        <v>51.664080013795477</v>
      </c>
      <c r="Y130" s="102">
        <v>2803</v>
      </c>
      <c r="Z130" s="96">
        <f t="shared" si="30"/>
        <v>48.335919986204516</v>
      </c>
      <c r="AA130" s="52">
        <v>1226</v>
      </c>
      <c r="AB130" s="52">
        <v>0</v>
      </c>
      <c r="AC130" s="105">
        <f t="shared" si="20"/>
        <v>7025</v>
      </c>
      <c r="AD130" s="48">
        <v>522</v>
      </c>
      <c r="AE130" s="48" t="s">
        <v>67</v>
      </c>
      <c r="AF130" s="49">
        <f t="shared" si="21"/>
        <v>522</v>
      </c>
      <c r="AG130" s="37">
        <v>1331.79</v>
      </c>
      <c r="AH130" s="33">
        <v>2382.2800000000002</v>
      </c>
      <c r="AI130" s="109">
        <f t="shared" si="31"/>
        <v>3714.07</v>
      </c>
      <c r="AJ130" s="26">
        <v>5435.55</v>
      </c>
      <c r="AK130" s="26">
        <v>1324.16</v>
      </c>
      <c r="AL130" s="69">
        <f t="shared" si="32"/>
        <v>6759.71</v>
      </c>
      <c r="AM130" s="24"/>
      <c r="AN130" s="20">
        <v>83</v>
      </c>
      <c r="AO130" s="20">
        <v>70</v>
      </c>
      <c r="AP130" s="106">
        <f t="shared" si="24"/>
        <v>153</v>
      </c>
      <c r="AQ130" s="20">
        <v>68868</v>
      </c>
      <c r="AR130" s="20">
        <v>75876</v>
      </c>
      <c r="AS130" s="118">
        <f t="shared" si="25"/>
        <v>0.84606205694190939</v>
      </c>
      <c r="AT130" s="118">
        <f t="shared" si="26"/>
        <v>0.76218542270147183</v>
      </c>
      <c r="AU130" s="20">
        <v>22</v>
      </c>
      <c r="AV130" s="20">
        <v>3</v>
      </c>
      <c r="AW130" s="19" t="s">
        <v>67</v>
      </c>
      <c r="AX130" s="22">
        <v>0</v>
      </c>
      <c r="AY130" s="22">
        <v>776</v>
      </c>
      <c r="AZ130" s="22" t="s">
        <v>67</v>
      </c>
      <c r="BA130" s="20">
        <v>437</v>
      </c>
      <c r="BB130" s="106">
        <f t="shared" si="13"/>
        <v>1213</v>
      </c>
      <c r="BC130" s="24"/>
      <c r="BD130" s="50">
        <v>16</v>
      </c>
      <c r="BE130" s="70" t="s">
        <v>66</v>
      </c>
      <c r="BF130" s="114" t="str">
        <f t="shared" si="14"/>
        <v>..</v>
      </c>
      <c r="BG130" s="73"/>
      <c r="BH130" s="73"/>
      <c r="BI130" s="72">
        <v>110</v>
      </c>
      <c r="BJ130" s="72">
        <v>37</v>
      </c>
      <c r="BK130" s="71" t="s">
        <v>66</v>
      </c>
      <c r="BL130" s="114">
        <f t="shared" si="33"/>
        <v>147</v>
      </c>
    </row>
    <row r="131" spans="1:64" x14ac:dyDescent="0.2">
      <c r="A131" s="13" t="str">
        <f t="shared" si="9"/>
        <v>1999Q2</v>
      </c>
      <c r="B131" s="11">
        <f t="shared" ref="B131:B172" si="34">B127+1</f>
        <v>1999</v>
      </c>
      <c r="C131" s="11" t="s">
        <v>2</v>
      </c>
      <c r="D131" s="44">
        <v>1294</v>
      </c>
      <c r="E131" s="44">
        <v>2296</v>
      </c>
      <c r="F131" s="87">
        <f t="shared" si="10"/>
        <v>3590</v>
      </c>
      <c r="G131" s="41">
        <v>1222553</v>
      </c>
      <c r="H131" s="41">
        <v>1362684</v>
      </c>
      <c r="I131" s="93">
        <f t="shared" si="16"/>
        <v>140131</v>
      </c>
      <c r="J131" s="95">
        <f t="shared" si="22"/>
        <v>1.192125285318413</v>
      </c>
      <c r="K131" s="95">
        <f t="shared" si="23"/>
        <v>1.0714311334222102</v>
      </c>
      <c r="L131" s="50">
        <v>397</v>
      </c>
      <c r="M131" s="50">
        <v>81</v>
      </c>
      <c r="N131" s="42" t="s">
        <v>67</v>
      </c>
      <c r="O131" s="42" t="s">
        <v>67</v>
      </c>
      <c r="P131" s="51">
        <v>128</v>
      </c>
      <c r="Q131" s="99">
        <v>5527</v>
      </c>
      <c r="R131" s="42" t="s">
        <v>67</v>
      </c>
      <c r="S131" s="50">
        <v>3096</v>
      </c>
      <c r="T131" s="96">
        <f t="shared" si="27"/>
        <v>56.015921838248595</v>
      </c>
      <c r="U131" s="50">
        <v>2431</v>
      </c>
      <c r="V131" s="96">
        <f t="shared" si="28"/>
        <v>43.984078161751398</v>
      </c>
      <c r="W131" s="50">
        <v>2721</v>
      </c>
      <c r="X131" s="96">
        <f t="shared" si="29"/>
        <v>49.231047584584765</v>
      </c>
      <c r="Y131" s="102">
        <v>2806</v>
      </c>
      <c r="Z131" s="96">
        <f t="shared" si="30"/>
        <v>50.768952415415235</v>
      </c>
      <c r="AA131" s="53">
        <v>1593</v>
      </c>
      <c r="AB131" s="50">
        <v>0</v>
      </c>
      <c r="AC131" s="105">
        <f t="shared" si="20"/>
        <v>7120</v>
      </c>
      <c r="AD131" s="48">
        <v>543</v>
      </c>
      <c r="AE131" s="48" t="s">
        <v>67</v>
      </c>
      <c r="AF131" s="49">
        <f t="shared" si="21"/>
        <v>543</v>
      </c>
      <c r="AG131" s="37">
        <v>1230.81</v>
      </c>
      <c r="AH131" s="33">
        <v>2382.64</v>
      </c>
      <c r="AI131" s="109">
        <f t="shared" si="31"/>
        <v>3613.45</v>
      </c>
      <c r="AJ131" s="26">
        <v>5446.2</v>
      </c>
      <c r="AK131" s="26">
        <v>1606.53</v>
      </c>
      <c r="AL131" s="69">
        <f t="shared" si="32"/>
        <v>7052.73</v>
      </c>
      <c r="AM131" s="24"/>
      <c r="AN131" s="20">
        <v>89</v>
      </c>
      <c r="AO131" s="20">
        <v>47</v>
      </c>
      <c r="AP131" s="106">
        <f t="shared" si="24"/>
        <v>136</v>
      </c>
      <c r="AQ131" s="20">
        <v>70079</v>
      </c>
      <c r="AR131" s="20">
        <v>77145</v>
      </c>
      <c r="AS131" s="118">
        <f t="shared" si="25"/>
        <v>0.81111847234473999</v>
      </c>
      <c r="AT131" s="118">
        <f t="shared" si="26"/>
        <v>0.73298602497312493</v>
      </c>
      <c r="AU131" s="20">
        <v>21</v>
      </c>
      <c r="AV131" s="20">
        <v>0</v>
      </c>
      <c r="AW131" s="19" t="s">
        <v>67</v>
      </c>
      <c r="AX131" s="22">
        <v>0</v>
      </c>
      <c r="AY131" s="22">
        <v>807</v>
      </c>
      <c r="AZ131" s="22" t="s">
        <v>67</v>
      </c>
      <c r="BA131" s="20">
        <v>504</v>
      </c>
      <c r="BB131" s="106">
        <f t="shared" si="13"/>
        <v>1311</v>
      </c>
      <c r="BC131" s="24"/>
      <c r="BD131" s="50">
        <v>14</v>
      </c>
      <c r="BE131" s="70" t="s">
        <v>66</v>
      </c>
      <c r="BF131" s="114" t="str">
        <f t="shared" si="14"/>
        <v>..</v>
      </c>
      <c r="BG131" s="73"/>
      <c r="BH131" s="73"/>
      <c r="BI131" s="72">
        <v>100</v>
      </c>
      <c r="BJ131" s="72">
        <v>31</v>
      </c>
      <c r="BK131" s="71" t="s">
        <v>66</v>
      </c>
      <c r="BL131" s="114">
        <f t="shared" si="33"/>
        <v>131</v>
      </c>
    </row>
    <row r="132" spans="1:64" x14ac:dyDescent="0.2">
      <c r="A132" s="13" t="str">
        <f t="shared" si="9"/>
        <v>1999Q3</v>
      </c>
      <c r="B132" s="11">
        <f t="shared" si="34"/>
        <v>1999</v>
      </c>
      <c r="C132" s="11" t="s">
        <v>3</v>
      </c>
      <c r="D132" s="44">
        <v>1240</v>
      </c>
      <c r="E132" s="44">
        <v>2136</v>
      </c>
      <c r="F132" s="87">
        <f t="shared" si="10"/>
        <v>3376</v>
      </c>
      <c r="G132" s="41">
        <v>1239153</v>
      </c>
      <c r="H132" s="41">
        <v>1382419</v>
      </c>
      <c r="I132" s="93">
        <f t="shared" si="16"/>
        <v>143266</v>
      </c>
      <c r="J132" s="95">
        <f t="shared" si="22"/>
        <v>1.1767904078609135</v>
      </c>
      <c r="K132" s="95">
        <f t="shared" si="23"/>
        <v>1.0569449304380771</v>
      </c>
      <c r="L132" s="50">
        <v>375</v>
      </c>
      <c r="M132" s="50">
        <v>64</v>
      </c>
      <c r="N132" s="42" t="s">
        <v>67</v>
      </c>
      <c r="O132" s="42" t="s">
        <v>67</v>
      </c>
      <c r="P132" s="51">
        <v>120</v>
      </c>
      <c r="Q132" s="99">
        <v>5365</v>
      </c>
      <c r="R132" s="42" t="s">
        <v>67</v>
      </c>
      <c r="S132" s="50">
        <v>3102</v>
      </c>
      <c r="T132" s="96">
        <f t="shared" si="27"/>
        <v>57.819198508853688</v>
      </c>
      <c r="U132" s="50">
        <v>2263</v>
      </c>
      <c r="V132" s="96">
        <f t="shared" si="28"/>
        <v>42.180801491146319</v>
      </c>
      <c r="W132" s="50">
        <v>2614</v>
      </c>
      <c r="X132" s="96">
        <f t="shared" si="29"/>
        <v>48.723205964585276</v>
      </c>
      <c r="Y132" s="102">
        <v>2751</v>
      </c>
      <c r="Z132" s="96">
        <f t="shared" si="30"/>
        <v>51.276794035414731</v>
      </c>
      <c r="AA132" s="53">
        <v>2227</v>
      </c>
      <c r="AB132" s="50">
        <v>0</v>
      </c>
      <c r="AC132" s="105">
        <f t="shared" si="20"/>
        <v>7592</v>
      </c>
      <c r="AD132" s="48">
        <v>690</v>
      </c>
      <c r="AE132" s="48" t="s">
        <v>67</v>
      </c>
      <c r="AF132" s="49">
        <f t="shared" si="21"/>
        <v>690</v>
      </c>
      <c r="AG132" s="37">
        <v>1306.43</v>
      </c>
      <c r="AH132" s="33">
        <v>2145.39</v>
      </c>
      <c r="AI132" s="109">
        <f t="shared" si="31"/>
        <v>3451.8199999999997</v>
      </c>
      <c r="AJ132" s="26">
        <v>5355.74</v>
      </c>
      <c r="AK132" s="26">
        <v>2137.75</v>
      </c>
      <c r="AL132" s="69">
        <f t="shared" si="32"/>
        <v>7493.49</v>
      </c>
      <c r="AM132" s="24"/>
      <c r="AN132" s="20">
        <v>98</v>
      </c>
      <c r="AO132" s="20">
        <v>46</v>
      </c>
      <c r="AP132" s="106">
        <f t="shared" si="24"/>
        <v>144</v>
      </c>
      <c r="AQ132" s="20">
        <v>70991</v>
      </c>
      <c r="AR132" s="20">
        <v>78010</v>
      </c>
      <c r="AS132" s="118">
        <f t="shared" si="25"/>
        <v>0.8286834183912859</v>
      </c>
      <c r="AT132" s="118">
        <f t="shared" si="26"/>
        <v>0.75110490279145392</v>
      </c>
      <c r="AU132" s="20">
        <v>17</v>
      </c>
      <c r="AV132" s="20">
        <v>0</v>
      </c>
      <c r="AW132" s="19" t="s">
        <v>67</v>
      </c>
      <c r="AX132" s="22">
        <v>0</v>
      </c>
      <c r="AY132" s="22">
        <v>842</v>
      </c>
      <c r="AZ132" s="22" t="s">
        <v>67</v>
      </c>
      <c r="BA132" s="20">
        <v>609</v>
      </c>
      <c r="BB132" s="106">
        <f t="shared" si="13"/>
        <v>1451</v>
      </c>
      <c r="BC132" s="24"/>
      <c r="BD132" s="50">
        <v>14</v>
      </c>
      <c r="BE132" s="70" t="s">
        <v>66</v>
      </c>
      <c r="BF132" s="114" t="str">
        <f t="shared" si="14"/>
        <v>..</v>
      </c>
      <c r="BG132" s="73"/>
      <c r="BH132" s="73"/>
      <c r="BI132" s="72">
        <v>68</v>
      </c>
      <c r="BJ132" s="72">
        <v>40</v>
      </c>
      <c r="BK132" s="71" t="s">
        <v>66</v>
      </c>
      <c r="BL132" s="114">
        <f t="shared" si="33"/>
        <v>108</v>
      </c>
    </row>
    <row r="133" spans="1:64" ht="12.75" customHeight="1" x14ac:dyDescent="0.2">
      <c r="A133" s="13" t="str">
        <f t="shared" si="9"/>
        <v>1999Q4</v>
      </c>
      <c r="B133" s="11">
        <f t="shared" si="34"/>
        <v>1999</v>
      </c>
      <c r="C133" s="11" t="s">
        <v>4</v>
      </c>
      <c r="D133" s="44">
        <v>1296</v>
      </c>
      <c r="E133" s="44">
        <v>2106</v>
      </c>
      <c r="F133" s="87">
        <f t="shared" si="10"/>
        <v>3402</v>
      </c>
      <c r="G133" s="41">
        <v>1258002</v>
      </c>
      <c r="H133" s="41">
        <v>1401176</v>
      </c>
      <c r="I133" s="93">
        <f t="shared" si="16"/>
        <v>143174</v>
      </c>
      <c r="J133" s="95">
        <f t="shared" si="22"/>
        <v>1.1613624945383227</v>
      </c>
      <c r="K133" s="95">
        <f t="shared" si="23"/>
        <v>1.0423785648133364</v>
      </c>
      <c r="L133" s="50">
        <v>427</v>
      </c>
      <c r="M133" s="50">
        <v>102</v>
      </c>
      <c r="N133" s="42" t="s">
        <v>67</v>
      </c>
      <c r="O133" s="42" t="s">
        <v>67</v>
      </c>
      <c r="P133" s="51">
        <v>121</v>
      </c>
      <c r="Q133" s="99">
        <v>4920</v>
      </c>
      <c r="R133" s="42" t="s">
        <v>67</v>
      </c>
      <c r="S133" s="50">
        <v>2793</v>
      </c>
      <c r="T133" s="96">
        <f t="shared" si="27"/>
        <v>56.768292682926827</v>
      </c>
      <c r="U133" s="50">
        <v>2127</v>
      </c>
      <c r="V133" s="96">
        <f t="shared" si="28"/>
        <v>43.231707317073173</v>
      </c>
      <c r="W133" s="50">
        <v>2392</v>
      </c>
      <c r="X133" s="96">
        <f t="shared" si="29"/>
        <v>48.617886178861788</v>
      </c>
      <c r="Y133" s="102">
        <v>2528</v>
      </c>
      <c r="Z133" s="96">
        <f t="shared" si="30"/>
        <v>51.382113821138212</v>
      </c>
      <c r="AA133" s="53">
        <v>2149</v>
      </c>
      <c r="AB133" s="50">
        <v>0</v>
      </c>
      <c r="AC133" s="105">
        <f t="shared" si="20"/>
        <v>7069</v>
      </c>
      <c r="AD133" s="48">
        <v>696</v>
      </c>
      <c r="AE133" s="48" t="s">
        <v>67</v>
      </c>
      <c r="AF133" s="49">
        <f t="shared" si="21"/>
        <v>696</v>
      </c>
      <c r="AG133" s="37">
        <v>1339.96</v>
      </c>
      <c r="AH133" s="33">
        <v>2160.69</v>
      </c>
      <c r="AI133" s="109">
        <f t="shared" si="31"/>
        <v>3500.65</v>
      </c>
      <c r="AJ133" s="26">
        <v>5373.51</v>
      </c>
      <c r="AK133" s="26">
        <v>2126.56</v>
      </c>
      <c r="AL133" s="69">
        <f t="shared" si="32"/>
        <v>7500.07</v>
      </c>
      <c r="AM133" s="24"/>
      <c r="AN133" s="20">
        <v>94</v>
      </c>
      <c r="AO133" s="20">
        <v>45</v>
      </c>
      <c r="AP133" s="106">
        <f t="shared" si="24"/>
        <v>139</v>
      </c>
      <c r="AQ133" s="20">
        <v>71810.332999999999</v>
      </c>
      <c r="AR133" s="20">
        <v>78867.665999999997</v>
      </c>
      <c r="AS133" s="118">
        <f t="shared" si="25"/>
        <v>0.81207224037062897</v>
      </c>
      <c r="AT133" s="118">
        <f t="shared" si="26"/>
        <v>0.73830585640533231</v>
      </c>
      <c r="AU133" s="20">
        <v>9</v>
      </c>
      <c r="AV133" s="20">
        <v>0</v>
      </c>
      <c r="AW133" s="19" t="s">
        <v>67</v>
      </c>
      <c r="AX133" s="22">
        <v>0</v>
      </c>
      <c r="AY133" s="22">
        <v>770</v>
      </c>
      <c r="AZ133" s="22" t="s">
        <v>67</v>
      </c>
      <c r="BA133" s="20">
        <v>594</v>
      </c>
      <c r="BB133" s="106">
        <f t="shared" si="13"/>
        <v>1364</v>
      </c>
      <c r="BC133" s="24"/>
      <c r="BD133" s="50">
        <v>14</v>
      </c>
      <c r="BE133" s="70" t="s">
        <v>66</v>
      </c>
      <c r="BF133" s="114" t="str">
        <f t="shared" si="14"/>
        <v>..</v>
      </c>
      <c r="BG133" s="73"/>
      <c r="BH133" s="73"/>
      <c r="BI133" s="72">
        <v>123</v>
      </c>
      <c r="BJ133" s="72">
        <v>64</v>
      </c>
      <c r="BK133" s="71" t="s">
        <v>66</v>
      </c>
      <c r="BL133" s="114">
        <f t="shared" si="33"/>
        <v>187</v>
      </c>
    </row>
    <row r="134" spans="1:64" x14ac:dyDescent="0.2">
      <c r="A134" s="13" t="str">
        <f t="shared" ref="A134:A197" si="35">B134&amp;C134</f>
        <v>2000Q1</v>
      </c>
      <c r="B134" s="11">
        <f t="shared" si="34"/>
        <v>2000</v>
      </c>
      <c r="C134" s="11" t="s">
        <v>1</v>
      </c>
      <c r="D134" s="44">
        <v>1210</v>
      </c>
      <c r="E134" s="44">
        <v>2427</v>
      </c>
      <c r="F134" s="87">
        <f t="shared" ref="F134:F197" si="36">D134+E134</f>
        <v>3637</v>
      </c>
      <c r="G134" s="41">
        <v>1275180</v>
      </c>
      <c r="H134" s="41">
        <v>1418810</v>
      </c>
      <c r="I134" s="93">
        <f t="shared" si="16"/>
        <v>143630</v>
      </c>
      <c r="J134" s="95">
        <f t="shared" si="22"/>
        <v>1.1215466693147074</v>
      </c>
      <c r="K134" s="95">
        <f t="shared" si="23"/>
        <v>1.0066325983286162</v>
      </c>
      <c r="L134" s="50">
        <v>454</v>
      </c>
      <c r="M134" s="50">
        <v>89</v>
      </c>
      <c r="N134" s="42" t="s">
        <v>67</v>
      </c>
      <c r="O134" s="42" t="s">
        <v>67</v>
      </c>
      <c r="P134" s="51">
        <v>124</v>
      </c>
      <c r="Q134" s="99">
        <v>5667</v>
      </c>
      <c r="R134" s="42" t="s">
        <v>67</v>
      </c>
      <c r="S134" s="50">
        <v>3554</v>
      </c>
      <c r="T134" s="96">
        <f t="shared" si="27"/>
        <v>62.713958002470434</v>
      </c>
      <c r="U134" s="50">
        <v>2113</v>
      </c>
      <c r="V134" s="96">
        <f t="shared" si="28"/>
        <v>37.286041997529559</v>
      </c>
      <c r="W134" s="50">
        <v>2571</v>
      </c>
      <c r="X134" s="96">
        <f t="shared" si="29"/>
        <v>45.367919534145052</v>
      </c>
      <c r="Y134" s="102">
        <v>3096</v>
      </c>
      <c r="Z134" s="96">
        <f t="shared" si="30"/>
        <v>54.632080465854948</v>
      </c>
      <c r="AA134" s="53">
        <v>2170</v>
      </c>
      <c r="AB134" s="50">
        <v>0</v>
      </c>
      <c r="AC134" s="105">
        <f t="shared" ref="AC134:AC165" si="37">IF(AA134=":",Q134+AB134,Q134+AA134+AB134)</f>
        <v>7837</v>
      </c>
      <c r="AD134" s="48">
        <v>486</v>
      </c>
      <c r="AE134" s="48" t="s">
        <v>67</v>
      </c>
      <c r="AF134" s="49">
        <f t="shared" ref="AF134:AF145" si="38">IF(AE134=":",AD134,AD134+AE134)</f>
        <v>486</v>
      </c>
      <c r="AG134" s="37">
        <v>1162.76</v>
      </c>
      <c r="AH134" s="33">
        <v>2288.65</v>
      </c>
      <c r="AI134" s="109">
        <f t="shared" si="31"/>
        <v>3451.41</v>
      </c>
      <c r="AJ134" s="26">
        <v>5315.8</v>
      </c>
      <c r="AK134" s="26">
        <v>2322.9</v>
      </c>
      <c r="AL134" s="69">
        <f t="shared" si="32"/>
        <v>7638.7000000000007</v>
      </c>
      <c r="AM134" s="24"/>
      <c r="AN134" s="20">
        <v>75</v>
      </c>
      <c r="AO134" s="20">
        <v>61</v>
      </c>
      <c r="AP134" s="106">
        <f t="shared" si="24"/>
        <v>136</v>
      </c>
      <c r="AQ134" s="20">
        <v>72560</v>
      </c>
      <c r="AR134" s="20">
        <v>79621</v>
      </c>
      <c r="AS134" s="118">
        <f t="shared" si="25"/>
        <v>0.77774572943761244</v>
      </c>
      <c r="AT134" s="118">
        <f t="shared" si="26"/>
        <v>0.70780960709724661</v>
      </c>
      <c r="AU134" s="20">
        <v>24</v>
      </c>
      <c r="AV134" s="20">
        <v>2</v>
      </c>
      <c r="AW134" s="19" t="s">
        <v>67</v>
      </c>
      <c r="AX134" s="22">
        <v>1</v>
      </c>
      <c r="AY134" s="22">
        <v>751</v>
      </c>
      <c r="AZ134" s="22" t="s">
        <v>67</v>
      </c>
      <c r="BA134" s="20">
        <v>644</v>
      </c>
      <c r="BB134" s="106">
        <f t="shared" ref="BB134:BB197" si="39">IF(BA134=":",AY134,AY134+BA134)</f>
        <v>1395</v>
      </c>
      <c r="BC134" s="24"/>
      <c r="BD134" s="50">
        <v>22</v>
      </c>
      <c r="BE134" s="70" t="s">
        <v>66</v>
      </c>
      <c r="BF134" s="114" t="str">
        <f t="shared" ref="BF134:BF197" si="40">IF(BE134="..","..",BD134+BE134)</f>
        <v>..</v>
      </c>
      <c r="BG134" s="73"/>
      <c r="BH134" s="73"/>
      <c r="BI134" s="72">
        <v>104</v>
      </c>
      <c r="BJ134" s="72">
        <v>98</v>
      </c>
      <c r="BK134" s="71" t="s">
        <v>66</v>
      </c>
      <c r="BL134" s="114">
        <f t="shared" si="33"/>
        <v>202</v>
      </c>
    </row>
    <row r="135" spans="1:64" x14ac:dyDescent="0.2">
      <c r="A135" s="13" t="str">
        <f t="shared" si="35"/>
        <v>2000Q2</v>
      </c>
      <c r="B135" s="11">
        <f t="shared" si="34"/>
        <v>2000</v>
      </c>
      <c r="C135" s="11" t="s">
        <v>2</v>
      </c>
      <c r="D135" s="44">
        <v>1300</v>
      </c>
      <c r="E135" s="44">
        <v>2070</v>
      </c>
      <c r="F135" s="87">
        <f t="shared" si="36"/>
        <v>3370</v>
      </c>
      <c r="G135" s="41">
        <v>1300372</v>
      </c>
      <c r="H135" s="41">
        <v>1447422</v>
      </c>
      <c r="I135" s="93">
        <f t="shared" si="16"/>
        <v>147050</v>
      </c>
      <c r="J135" s="95">
        <f t="shared" si="22"/>
        <v>1.0869935913901592</v>
      </c>
      <c r="K135" s="95">
        <f t="shared" si="23"/>
        <v>0.97595908688885513</v>
      </c>
      <c r="L135" s="50">
        <v>429</v>
      </c>
      <c r="M135" s="50">
        <v>135</v>
      </c>
      <c r="N135" s="42" t="s">
        <v>67</v>
      </c>
      <c r="O135" s="42" t="s">
        <v>67</v>
      </c>
      <c r="P135" s="51">
        <v>160</v>
      </c>
      <c r="Q135" s="99">
        <v>5414</v>
      </c>
      <c r="R135" s="42" t="s">
        <v>67</v>
      </c>
      <c r="S135" s="50">
        <v>3276</v>
      </c>
      <c r="T135" s="96">
        <f t="shared" si="27"/>
        <v>60.50978943479867</v>
      </c>
      <c r="U135" s="50">
        <v>2138</v>
      </c>
      <c r="V135" s="96">
        <f t="shared" si="28"/>
        <v>39.49021056520133</v>
      </c>
      <c r="W135" s="50">
        <v>2519</v>
      </c>
      <c r="X135" s="96">
        <f t="shared" si="29"/>
        <v>46.527521241226452</v>
      </c>
      <c r="Y135" s="102">
        <v>2895</v>
      </c>
      <c r="Z135" s="96">
        <f t="shared" si="30"/>
        <v>53.472478758773548</v>
      </c>
      <c r="AA135" s="53">
        <v>2118</v>
      </c>
      <c r="AB135" s="50">
        <v>0</v>
      </c>
      <c r="AC135" s="105">
        <f t="shared" si="37"/>
        <v>7532</v>
      </c>
      <c r="AD135" s="48">
        <v>540</v>
      </c>
      <c r="AE135" s="48" t="s">
        <v>67</v>
      </c>
      <c r="AF135" s="49">
        <f t="shared" si="38"/>
        <v>540</v>
      </c>
      <c r="AG135" s="37">
        <v>1219.94</v>
      </c>
      <c r="AH135" s="33">
        <v>2159.21</v>
      </c>
      <c r="AI135" s="109">
        <f t="shared" si="31"/>
        <v>3379.15</v>
      </c>
      <c r="AJ135" s="26">
        <v>5318.29</v>
      </c>
      <c r="AK135" s="26">
        <v>2099.5</v>
      </c>
      <c r="AL135" s="69">
        <f t="shared" si="32"/>
        <v>7417.79</v>
      </c>
      <c r="AM135" s="24"/>
      <c r="AN135" s="20">
        <v>92</v>
      </c>
      <c r="AO135" s="20">
        <v>61</v>
      </c>
      <c r="AP135" s="106">
        <f t="shared" si="24"/>
        <v>153</v>
      </c>
      <c r="AQ135" s="20">
        <v>73661.333299999998</v>
      </c>
      <c r="AR135" s="20">
        <v>81100.333299999998</v>
      </c>
      <c r="AS135" s="118">
        <f t="shared" si="25"/>
        <v>0.79163341383927999</v>
      </c>
      <c r="AT135" s="118">
        <f t="shared" si="26"/>
        <v>0.72040529253644903</v>
      </c>
      <c r="AU135" s="20">
        <v>35</v>
      </c>
      <c r="AV135" s="20">
        <v>1</v>
      </c>
      <c r="AW135" s="19" t="s">
        <v>67</v>
      </c>
      <c r="AX135" s="22">
        <v>0</v>
      </c>
      <c r="AY135" s="22">
        <v>751</v>
      </c>
      <c r="AZ135" s="22" t="s">
        <v>67</v>
      </c>
      <c r="BA135" s="20">
        <v>776</v>
      </c>
      <c r="BB135" s="106">
        <f t="shared" si="39"/>
        <v>1527</v>
      </c>
      <c r="BC135" s="24"/>
      <c r="BD135" s="50">
        <v>27</v>
      </c>
      <c r="BE135" s="70" t="s">
        <v>66</v>
      </c>
      <c r="BF135" s="114" t="str">
        <f t="shared" si="40"/>
        <v>..</v>
      </c>
      <c r="BG135" s="73"/>
      <c r="BH135" s="73"/>
      <c r="BI135" s="72">
        <v>116</v>
      </c>
      <c r="BJ135" s="72">
        <v>55</v>
      </c>
      <c r="BK135" s="71" t="s">
        <v>66</v>
      </c>
      <c r="BL135" s="114">
        <f t="shared" si="33"/>
        <v>171</v>
      </c>
    </row>
    <row r="136" spans="1:64" x14ac:dyDescent="0.2">
      <c r="A136" s="13" t="str">
        <f t="shared" si="35"/>
        <v>2000Q3</v>
      </c>
      <c r="B136" s="11">
        <f t="shared" si="34"/>
        <v>2000</v>
      </c>
      <c r="C136" s="11" t="s">
        <v>3</v>
      </c>
      <c r="D136" s="44">
        <v>1231</v>
      </c>
      <c r="E136" s="44">
        <v>2478</v>
      </c>
      <c r="F136" s="87">
        <f t="shared" si="36"/>
        <v>3709</v>
      </c>
      <c r="G136" s="41">
        <v>1323361.6000000001</v>
      </c>
      <c r="H136" s="41">
        <v>1472328.6</v>
      </c>
      <c r="I136" s="93">
        <f t="shared" si="16"/>
        <v>148967</v>
      </c>
      <c r="J136" s="95">
        <f t="shared" si="22"/>
        <v>1.0950731867707901</v>
      </c>
      <c r="K136" s="95">
        <f t="shared" si="23"/>
        <v>0.98387790129602815</v>
      </c>
      <c r="L136" s="50">
        <v>355</v>
      </c>
      <c r="M136" s="50">
        <v>101</v>
      </c>
      <c r="N136" s="42" t="s">
        <v>67</v>
      </c>
      <c r="O136" s="42" t="s">
        <v>67</v>
      </c>
      <c r="P136" s="51">
        <v>121</v>
      </c>
      <c r="Q136" s="99">
        <v>5451</v>
      </c>
      <c r="R136" s="42" t="s">
        <v>67</v>
      </c>
      <c r="S136" s="50">
        <v>3292</v>
      </c>
      <c r="T136" s="96">
        <f t="shared" si="27"/>
        <v>60.392588515868653</v>
      </c>
      <c r="U136" s="50">
        <v>2159</v>
      </c>
      <c r="V136" s="96">
        <f t="shared" si="28"/>
        <v>39.607411484131347</v>
      </c>
      <c r="W136" s="50">
        <v>2518</v>
      </c>
      <c r="X136" s="96">
        <f t="shared" si="29"/>
        <v>46.193359016694188</v>
      </c>
      <c r="Y136" s="102">
        <v>2933</v>
      </c>
      <c r="Z136" s="96">
        <f t="shared" si="30"/>
        <v>53.806640983305819</v>
      </c>
      <c r="AA136" s="53">
        <v>1865</v>
      </c>
      <c r="AB136" s="50">
        <v>0</v>
      </c>
      <c r="AC136" s="105">
        <f t="shared" si="37"/>
        <v>7316</v>
      </c>
      <c r="AD136" s="48">
        <v>652</v>
      </c>
      <c r="AE136" s="48" t="s">
        <v>67</v>
      </c>
      <c r="AF136" s="49">
        <f t="shared" si="38"/>
        <v>652</v>
      </c>
      <c r="AG136" s="37">
        <v>1313.49</v>
      </c>
      <c r="AH136" s="33">
        <v>2482.42</v>
      </c>
      <c r="AI136" s="109">
        <f t="shared" si="31"/>
        <v>3795.91</v>
      </c>
      <c r="AJ136" s="26">
        <v>5440.05</v>
      </c>
      <c r="AK136" s="26">
        <v>1767.5</v>
      </c>
      <c r="AL136" s="69">
        <f t="shared" si="32"/>
        <v>7207.55</v>
      </c>
      <c r="AM136" s="24"/>
      <c r="AN136" s="20">
        <v>85</v>
      </c>
      <c r="AO136" s="20">
        <v>54</v>
      </c>
      <c r="AP136" s="106">
        <f t="shared" si="24"/>
        <v>139</v>
      </c>
      <c r="AQ136" s="20">
        <v>74815.332999999999</v>
      </c>
      <c r="AR136" s="20">
        <v>82670.332999999999</v>
      </c>
      <c r="AS136" s="118">
        <f t="shared" si="25"/>
        <v>0.77446584920496409</v>
      </c>
      <c r="AT136" s="118">
        <f t="shared" si="26"/>
        <v>0.70378101506418345</v>
      </c>
      <c r="AU136" s="20">
        <v>30</v>
      </c>
      <c r="AV136" s="20">
        <v>0</v>
      </c>
      <c r="AW136" s="19" t="s">
        <v>67</v>
      </c>
      <c r="AX136" s="22">
        <v>1</v>
      </c>
      <c r="AY136" s="22">
        <v>712</v>
      </c>
      <c r="AZ136" s="22" t="s">
        <v>67</v>
      </c>
      <c r="BA136" s="20">
        <v>679</v>
      </c>
      <c r="BB136" s="106">
        <f t="shared" si="39"/>
        <v>1391</v>
      </c>
      <c r="BC136" s="24"/>
      <c r="BD136" s="50">
        <v>15</v>
      </c>
      <c r="BE136" s="70" t="s">
        <v>66</v>
      </c>
      <c r="BF136" s="114" t="str">
        <f t="shared" si="40"/>
        <v>..</v>
      </c>
      <c r="BG136" s="73"/>
      <c r="BH136" s="73"/>
      <c r="BI136" s="72">
        <v>54</v>
      </c>
      <c r="BJ136" s="72">
        <v>56</v>
      </c>
      <c r="BK136" s="71" t="s">
        <v>66</v>
      </c>
      <c r="BL136" s="114">
        <f t="shared" si="33"/>
        <v>110</v>
      </c>
    </row>
    <row r="137" spans="1:64" x14ac:dyDescent="0.2">
      <c r="A137" s="13" t="str">
        <f t="shared" si="35"/>
        <v>2000Q4</v>
      </c>
      <c r="B137" s="11">
        <f t="shared" si="34"/>
        <v>2000</v>
      </c>
      <c r="C137" s="11" t="s">
        <v>4</v>
      </c>
      <c r="D137" s="44">
        <v>1184</v>
      </c>
      <c r="E137" s="44">
        <v>2417</v>
      </c>
      <c r="F137" s="87">
        <f t="shared" si="36"/>
        <v>3601</v>
      </c>
      <c r="G137" s="41">
        <v>1339993</v>
      </c>
      <c r="H137" s="41">
        <v>1488865</v>
      </c>
      <c r="I137" s="93">
        <f t="shared" si="16"/>
        <v>148872</v>
      </c>
      <c r="J137" s="95">
        <f t="shared" ref="J137:J147" si="41">SUM(F134:F137)/AVERAGE(G134:G137)*100</f>
        <v>1.0931288601327613</v>
      </c>
      <c r="K137" s="95">
        <f t="shared" si="23"/>
        <v>0.9827324093163885</v>
      </c>
      <c r="L137" s="50">
        <v>357</v>
      </c>
      <c r="M137" s="50">
        <v>113</v>
      </c>
      <c r="N137" s="42" t="s">
        <v>67</v>
      </c>
      <c r="O137" s="42" t="s">
        <v>67</v>
      </c>
      <c r="P137" s="51">
        <v>152</v>
      </c>
      <c r="Q137" s="99">
        <v>5018</v>
      </c>
      <c r="R137" s="42" t="s">
        <v>67</v>
      </c>
      <c r="S137" s="50">
        <v>3190</v>
      </c>
      <c r="T137" s="96">
        <f t="shared" si="27"/>
        <v>63.571143882024714</v>
      </c>
      <c r="U137" s="50">
        <v>1828</v>
      </c>
      <c r="V137" s="96">
        <f t="shared" si="28"/>
        <v>36.428856117975286</v>
      </c>
      <c r="W137" s="50">
        <v>2344</v>
      </c>
      <c r="X137" s="96">
        <f t="shared" si="29"/>
        <v>46.711837385412515</v>
      </c>
      <c r="Y137" s="102">
        <v>2674</v>
      </c>
      <c r="Z137" s="96">
        <f t="shared" si="30"/>
        <v>53.288162614587485</v>
      </c>
      <c r="AA137" s="53">
        <v>1825</v>
      </c>
      <c r="AB137" s="50">
        <v>0</v>
      </c>
      <c r="AC137" s="105">
        <f t="shared" si="37"/>
        <v>6843</v>
      </c>
      <c r="AD137" s="48">
        <v>668</v>
      </c>
      <c r="AE137" s="48" t="s">
        <v>67</v>
      </c>
      <c r="AF137" s="49">
        <f t="shared" si="38"/>
        <v>668</v>
      </c>
      <c r="AG137" s="37">
        <v>1228.81</v>
      </c>
      <c r="AH137" s="33">
        <v>2461.73</v>
      </c>
      <c r="AI137" s="109">
        <f t="shared" si="31"/>
        <v>3690.54</v>
      </c>
      <c r="AJ137" s="26">
        <v>5475.86</v>
      </c>
      <c r="AK137" s="26">
        <v>1788.09</v>
      </c>
      <c r="AL137" s="69">
        <f t="shared" si="32"/>
        <v>7263.95</v>
      </c>
      <c r="AM137" s="24"/>
      <c r="AN137" s="20">
        <v>92</v>
      </c>
      <c r="AO137" s="20">
        <v>63</v>
      </c>
      <c r="AP137" s="106">
        <f t="shared" si="24"/>
        <v>155</v>
      </c>
      <c r="AQ137" s="20">
        <v>75904</v>
      </c>
      <c r="AR137" s="20">
        <v>83348</v>
      </c>
      <c r="AS137" s="118">
        <f t="shared" si="25"/>
        <v>0.78534207828710589</v>
      </c>
      <c r="AT137" s="118">
        <f t="shared" si="26"/>
        <v>0.71371805768413987</v>
      </c>
      <c r="AU137" s="20">
        <v>19</v>
      </c>
      <c r="AV137" s="20">
        <v>3</v>
      </c>
      <c r="AW137" s="19" t="s">
        <v>67</v>
      </c>
      <c r="AX137" s="22">
        <v>0</v>
      </c>
      <c r="AY137" s="22">
        <v>751</v>
      </c>
      <c r="AZ137" s="22" t="s">
        <v>67</v>
      </c>
      <c r="BA137" s="20">
        <v>702</v>
      </c>
      <c r="BB137" s="106">
        <f t="shared" si="39"/>
        <v>1453</v>
      </c>
      <c r="BC137" s="24"/>
      <c r="BD137" s="50">
        <v>19</v>
      </c>
      <c r="BE137" s="70" t="s">
        <v>66</v>
      </c>
      <c r="BF137" s="114" t="str">
        <f t="shared" si="40"/>
        <v>..</v>
      </c>
      <c r="BG137" s="73"/>
      <c r="BH137" s="73"/>
      <c r="BI137" s="72">
        <v>75</v>
      </c>
      <c r="BJ137" s="72">
        <v>58</v>
      </c>
      <c r="BK137" s="71" t="s">
        <v>66</v>
      </c>
      <c r="BL137" s="114">
        <f t="shared" si="33"/>
        <v>133</v>
      </c>
    </row>
    <row r="138" spans="1:64" x14ac:dyDescent="0.2">
      <c r="A138" s="13" t="str">
        <f t="shared" si="35"/>
        <v>2001Q1</v>
      </c>
      <c r="B138" s="11">
        <f t="shared" si="34"/>
        <v>2001</v>
      </c>
      <c r="C138" s="11" t="s">
        <v>1</v>
      </c>
      <c r="D138" s="44">
        <v>1359</v>
      </c>
      <c r="E138" s="44">
        <v>2584</v>
      </c>
      <c r="F138" s="87">
        <f t="shared" si="36"/>
        <v>3943</v>
      </c>
      <c r="G138" s="41">
        <v>1353584.3330000001</v>
      </c>
      <c r="H138" s="41">
        <v>1500555</v>
      </c>
      <c r="I138" s="93">
        <f t="shared" si="16"/>
        <v>146970.6669999999</v>
      </c>
      <c r="J138" s="95">
        <f t="shared" si="41"/>
        <v>1.1000297093214955</v>
      </c>
      <c r="K138" s="95">
        <f t="shared" si="23"/>
        <v>0.9898512660981561</v>
      </c>
      <c r="L138" s="50">
        <v>649</v>
      </c>
      <c r="M138" s="50">
        <v>125</v>
      </c>
      <c r="N138" s="42" t="s">
        <v>67</v>
      </c>
      <c r="O138" s="42" t="s">
        <v>67</v>
      </c>
      <c r="P138" s="51">
        <v>132</v>
      </c>
      <c r="Q138" s="99">
        <v>6078</v>
      </c>
      <c r="R138" s="42" t="s">
        <v>67</v>
      </c>
      <c r="S138" s="50">
        <v>3987</v>
      </c>
      <c r="T138" s="96">
        <f t="shared" si="27"/>
        <v>65.59723593287265</v>
      </c>
      <c r="U138" s="50">
        <v>2091</v>
      </c>
      <c r="V138" s="96">
        <f t="shared" si="28"/>
        <v>34.402764067127343</v>
      </c>
      <c r="W138" s="50">
        <v>2666</v>
      </c>
      <c r="X138" s="96">
        <f t="shared" si="29"/>
        <v>43.863112866074367</v>
      </c>
      <c r="Y138" s="102">
        <v>3412</v>
      </c>
      <c r="Z138" s="96">
        <f t="shared" si="30"/>
        <v>56.136887133925626</v>
      </c>
      <c r="AA138" s="53">
        <v>1672</v>
      </c>
      <c r="AB138" s="50">
        <v>0</v>
      </c>
      <c r="AC138" s="105">
        <f t="shared" si="37"/>
        <v>7750</v>
      </c>
      <c r="AD138" s="48">
        <v>565</v>
      </c>
      <c r="AE138" s="48" t="s">
        <v>67</v>
      </c>
      <c r="AF138" s="49">
        <f t="shared" si="38"/>
        <v>565</v>
      </c>
      <c r="AG138" s="38">
        <v>1316.36</v>
      </c>
      <c r="AH138" s="34">
        <v>2450.5500000000002</v>
      </c>
      <c r="AI138" s="109">
        <f t="shared" si="31"/>
        <v>3766.91</v>
      </c>
      <c r="AJ138" s="26">
        <v>5707.09</v>
      </c>
      <c r="AK138" s="26">
        <v>1788.47</v>
      </c>
      <c r="AL138" s="69">
        <f t="shared" si="32"/>
        <v>7495.56</v>
      </c>
      <c r="AM138" s="24"/>
      <c r="AN138" s="20">
        <v>102</v>
      </c>
      <c r="AO138" s="20">
        <v>64</v>
      </c>
      <c r="AP138" s="106">
        <f t="shared" si="24"/>
        <v>166</v>
      </c>
      <c r="AQ138" s="20">
        <v>76709.332999999999</v>
      </c>
      <c r="AR138" s="20">
        <v>84389.332999999999</v>
      </c>
      <c r="AS138" s="118">
        <f t="shared" si="25"/>
        <v>0.8143744414296793</v>
      </c>
      <c r="AT138" s="118">
        <f t="shared" si="26"/>
        <v>0.73965032674250775</v>
      </c>
      <c r="AU138" s="20">
        <v>26</v>
      </c>
      <c r="AV138" s="20">
        <v>2</v>
      </c>
      <c r="AW138" s="19" t="s">
        <v>67</v>
      </c>
      <c r="AX138" s="22">
        <v>1</v>
      </c>
      <c r="AY138" s="22">
        <v>709</v>
      </c>
      <c r="AZ138" s="22" t="s">
        <v>67</v>
      </c>
      <c r="BA138" s="20">
        <v>794</v>
      </c>
      <c r="BB138" s="106">
        <f t="shared" si="39"/>
        <v>1503</v>
      </c>
      <c r="BC138" s="24"/>
      <c r="BD138" s="50">
        <v>16</v>
      </c>
      <c r="BE138" s="70" t="s">
        <v>66</v>
      </c>
      <c r="BF138" s="114" t="str">
        <f t="shared" si="40"/>
        <v>..</v>
      </c>
      <c r="BG138" s="73"/>
      <c r="BH138" s="73"/>
      <c r="BI138" s="72">
        <v>86</v>
      </c>
      <c r="BJ138" s="72">
        <v>51</v>
      </c>
      <c r="BK138" s="71" t="s">
        <v>66</v>
      </c>
      <c r="BL138" s="114">
        <f t="shared" si="33"/>
        <v>137</v>
      </c>
    </row>
    <row r="139" spans="1:64" x14ac:dyDescent="0.2">
      <c r="A139" s="13" t="str">
        <f t="shared" si="35"/>
        <v>2001Q2</v>
      </c>
      <c r="B139" s="11">
        <f t="shared" si="34"/>
        <v>2001</v>
      </c>
      <c r="C139" s="11" t="s">
        <v>2</v>
      </c>
      <c r="D139" s="44">
        <v>1348</v>
      </c>
      <c r="E139" s="44">
        <v>2336</v>
      </c>
      <c r="F139" s="87">
        <f t="shared" si="36"/>
        <v>3684</v>
      </c>
      <c r="G139" s="41">
        <v>1368072</v>
      </c>
      <c r="H139" s="41">
        <v>1517815.3</v>
      </c>
      <c r="I139" s="93">
        <f t="shared" si="16"/>
        <v>149743.30000000005</v>
      </c>
      <c r="J139" s="95">
        <f t="shared" si="41"/>
        <v>1.1095242097626397</v>
      </c>
      <c r="K139" s="95">
        <f t="shared" si="23"/>
        <v>0.99920330310375982</v>
      </c>
      <c r="L139" s="50">
        <v>435</v>
      </c>
      <c r="M139" s="50">
        <v>141</v>
      </c>
      <c r="N139" s="42" t="s">
        <v>67</v>
      </c>
      <c r="O139" s="42" t="s">
        <v>67</v>
      </c>
      <c r="P139" s="51">
        <v>163</v>
      </c>
      <c r="Q139" s="99">
        <v>6115</v>
      </c>
      <c r="R139" s="42" t="s">
        <v>67</v>
      </c>
      <c r="S139" s="50">
        <v>3890</v>
      </c>
      <c r="T139" s="96">
        <f t="shared" si="27"/>
        <v>63.614063777596073</v>
      </c>
      <c r="U139" s="50">
        <v>2225</v>
      </c>
      <c r="V139" s="96">
        <f t="shared" si="28"/>
        <v>36.385936222403927</v>
      </c>
      <c r="W139" s="50">
        <v>2609</v>
      </c>
      <c r="X139" s="96">
        <f t="shared" si="29"/>
        <v>42.665576451349139</v>
      </c>
      <c r="Y139" s="102">
        <v>3506</v>
      </c>
      <c r="Z139" s="96">
        <f t="shared" si="30"/>
        <v>57.334423548650861</v>
      </c>
      <c r="AA139" s="53">
        <v>1599</v>
      </c>
      <c r="AB139" s="50">
        <v>0</v>
      </c>
      <c r="AC139" s="105">
        <f t="shared" si="37"/>
        <v>7714</v>
      </c>
      <c r="AD139" s="48">
        <v>458</v>
      </c>
      <c r="AE139" s="48" t="s">
        <v>67</v>
      </c>
      <c r="AF139" s="49">
        <f t="shared" si="38"/>
        <v>458</v>
      </c>
      <c r="AG139" s="38">
        <v>1266.8900000000001</v>
      </c>
      <c r="AH139" s="34">
        <v>2437.4699999999998</v>
      </c>
      <c r="AI139" s="109">
        <f t="shared" si="31"/>
        <v>3704.3599999999997</v>
      </c>
      <c r="AJ139" s="26">
        <v>5994.59</v>
      </c>
      <c r="AK139" s="26">
        <v>1581.1</v>
      </c>
      <c r="AL139" s="69">
        <f t="shared" si="32"/>
        <v>7575.6900000000005</v>
      </c>
      <c r="AM139" s="24"/>
      <c r="AN139" s="20">
        <v>82</v>
      </c>
      <c r="AO139" s="20">
        <v>59</v>
      </c>
      <c r="AP139" s="106">
        <f t="shared" si="24"/>
        <v>141</v>
      </c>
      <c r="AQ139" s="20">
        <v>77833</v>
      </c>
      <c r="AR139" s="20">
        <v>85863.665999999997</v>
      </c>
      <c r="AS139" s="118">
        <f t="shared" si="25"/>
        <v>0.78752109018496941</v>
      </c>
      <c r="AT139" s="118">
        <f t="shared" si="26"/>
        <v>0.71489888409518076</v>
      </c>
      <c r="AU139" s="20">
        <v>27</v>
      </c>
      <c r="AV139" s="20">
        <v>1</v>
      </c>
      <c r="AW139" s="19" t="s">
        <v>67</v>
      </c>
      <c r="AX139" s="22">
        <v>1</v>
      </c>
      <c r="AY139" s="22">
        <v>750</v>
      </c>
      <c r="AZ139" s="22" t="s">
        <v>67</v>
      </c>
      <c r="BA139" s="20">
        <v>996</v>
      </c>
      <c r="BB139" s="106">
        <f t="shared" si="39"/>
        <v>1746</v>
      </c>
      <c r="BC139" s="24"/>
      <c r="BD139" s="50">
        <v>18</v>
      </c>
      <c r="BE139" s="70" t="s">
        <v>66</v>
      </c>
      <c r="BF139" s="114" t="str">
        <f t="shared" si="40"/>
        <v>..</v>
      </c>
      <c r="BG139" s="73"/>
      <c r="BH139" s="73"/>
      <c r="BI139" s="72">
        <v>88</v>
      </c>
      <c r="BJ139" s="72">
        <v>49</v>
      </c>
      <c r="BK139" s="71" t="s">
        <v>66</v>
      </c>
      <c r="BL139" s="114">
        <f t="shared" si="33"/>
        <v>137</v>
      </c>
    </row>
    <row r="140" spans="1:64" x14ac:dyDescent="0.2">
      <c r="A140" s="13" t="str">
        <f t="shared" si="35"/>
        <v>2001Q3</v>
      </c>
      <c r="B140" s="11">
        <f t="shared" si="34"/>
        <v>2001</v>
      </c>
      <c r="C140" s="11" t="s">
        <v>3</v>
      </c>
      <c r="D140" s="44">
        <v>940</v>
      </c>
      <c r="E140" s="44">
        <v>2700</v>
      </c>
      <c r="F140" s="87">
        <f t="shared" si="36"/>
        <v>3640</v>
      </c>
      <c r="G140" s="41">
        <v>1378445</v>
      </c>
      <c r="H140" s="41">
        <v>1532041.3330000001</v>
      </c>
      <c r="I140" s="93">
        <f t="shared" si="16"/>
        <v>153596.3330000001</v>
      </c>
      <c r="J140" s="95">
        <f t="shared" si="41"/>
        <v>1.0932163370631021</v>
      </c>
      <c r="K140" s="95">
        <f t="shared" si="23"/>
        <v>0.98475369839876659</v>
      </c>
      <c r="L140" s="50">
        <v>369</v>
      </c>
      <c r="M140" s="50">
        <v>146</v>
      </c>
      <c r="N140" s="42" t="s">
        <v>67</v>
      </c>
      <c r="O140" s="42" t="s">
        <v>67</v>
      </c>
      <c r="P140" s="51">
        <v>141</v>
      </c>
      <c r="Q140" s="99">
        <v>5817</v>
      </c>
      <c r="R140" s="42" t="s">
        <v>67</v>
      </c>
      <c r="S140" s="50">
        <v>3889</v>
      </c>
      <c r="T140" s="96">
        <f t="shared" si="27"/>
        <v>66.855767577789237</v>
      </c>
      <c r="U140" s="50">
        <v>1928</v>
      </c>
      <c r="V140" s="96">
        <f t="shared" si="28"/>
        <v>33.144232422210763</v>
      </c>
      <c r="W140" s="50">
        <v>2414</v>
      </c>
      <c r="X140" s="96">
        <f t="shared" si="29"/>
        <v>41.499054495444391</v>
      </c>
      <c r="Y140" s="102">
        <v>3403</v>
      </c>
      <c r="Z140" s="96">
        <f t="shared" si="30"/>
        <v>58.500945504555609</v>
      </c>
      <c r="AA140" s="53">
        <v>1617</v>
      </c>
      <c r="AB140" s="50">
        <v>0</v>
      </c>
      <c r="AC140" s="105">
        <f t="shared" si="37"/>
        <v>7434</v>
      </c>
      <c r="AD140" s="48">
        <v>710</v>
      </c>
      <c r="AE140" s="48" t="s">
        <v>67</v>
      </c>
      <c r="AF140" s="49">
        <f t="shared" si="38"/>
        <v>710</v>
      </c>
      <c r="AG140" s="37">
        <v>1021.35</v>
      </c>
      <c r="AH140" s="33">
        <v>2700.56</v>
      </c>
      <c r="AI140" s="109">
        <f t="shared" si="31"/>
        <v>3721.91</v>
      </c>
      <c r="AJ140" s="26">
        <v>5808.04</v>
      </c>
      <c r="AK140" s="26">
        <v>1539.84</v>
      </c>
      <c r="AL140" s="69">
        <f t="shared" si="32"/>
        <v>7347.88</v>
      </c>
      <c r="AM140" s="24"/>
      <c r="AN140" s="20">
        <v>75</v>
      </c>
      <c r="AO140" s="20">
        <v>33</v>
      </c>
      <c r="AP140" s="106">
        <f t="shared" si="24"/>
        <v>108</v>
      </c>
      <c r="AQ140" s="20">
        <v>78627.332999999999</v>
      </c>
      <c r="AR140" s="20">
        <v>86807.332999999999</v>
      </c>
      <c r="AS140" s="118">
        <f t="shared" si="25"/>
        <v>0.7376882118452629</v>
      </c>
      <c r="AT140" s="118">
        <f t="shared" si="26"/>
        <v>0.66978384066110341</v>
      </c>
      <c r="AU140" s="20">
        <v>19</v>
      </c>
      <c r="AV140" s="20">
        <v>1</v>
      </c>
      <c r="AW140" s="19" t="s">
        <v>67</v>
      </c>
      <c r="AX140" s="22">
        <v>1</v>
      </c>
      <c r="AY140" s="22">
        <v>839</v>
      </c>
      <c r="AZ140" s="22" t="s">
        <v>67</v>
      </c>
      <c r="BA140" s="20">
        <v>1042</v>
      </c>
      <c r="BB140" s="106">
        <f t="shared" si="39"/>
        <v>1881</v>
      </c>
      <c r="BC140" s="24"/>
      <c r="BD140" s="50">
        <v>11</v>
      </c>
      <c r="BE140" s="70" t="s">
        <v>66</v>
      </c>
      <c r="BF140" s="114" t="str">
        <f t="shared" si="40"/>
        <v>..</v>
      </c>
      <c r="BG140" s="73"/>
      <c r="BH140" s="73"/>
      <c r="BI140" s="72">
        <v>37</v>
      </c>
      <c r="BJ140" s="72">
        <v>42</v>
      </c>
      <c r="BK140" s="71" t="s">
        <v>66</v>
      </c>
      <c r="BL140" s="114">
        <f t="shared" si="33"/>
        <v>79</v>
      </c>
    </row>
    <row r="141" spans="1:64" x14ac:dyDescent="0.2">
      <c r="A141" s="13" t="str">
        <f t="shared" si="35"/>
        <v>2001Q4</v>
      </c>
      <c r="B141" s="11">
        <f t="shared" si="34"/>
        <v>2001</v>
      </c>
      <c r="C141" s="11" t="s">
        <v>4</v>
      </c>
      <c r="D141" s="44">
        <v>1028</v>
      </c>
      <c r="E141" s="44">
        <v>2677</v>
      </c>
      <c r="F141" s="87">
        <f t="shared" si="36"/>
        <v>3705</v>
      </c>
      <c r="G141" s="41">
        <v>1389815.3</v>
      </c>
      <c r="H141" s="41">
        <v>1546100</v>
      </c>
      <c r="I141" s="93">
        <f t="shared" si="16"/>
        <v>156284.69999999995</v>
      </c>
      <c r="J141" s="95">
        <f t="shared" si="41"/>
        <v>1.0908726671733413</v>
      </c>
      <c r="K141" s="95">
        <f t="shared" si="23"/>
        <v>0.98233225170653926</v>
      </c>
      <c r="L141" s="50">
        <v>461</v>
      </c>
      <c r="M141" s="50">
        <v>286</v>
      </c>
      <c r="N141" s="42" t="s">
        <v>67</v>
      </c>
      <c r="O141" s="42" t="s">
        <v>67</v>
      </c>
      <c r="P141" s="51">
        <v>161</v>
      </c>
      <c r="Q141" s="99">
        <v>5467</v>
      </c>
      <c r="R141" s="42" t="s">
        <v>67</v>
      </c>
      <c r="S141" s="45">
        <v>3748</v>
      </c>
      <c r="T141" s="96">
        <f t="shared" si="27"/>
        <v>68.556795317358706</v>
      </c>
      <c r="U141" s="45">
        <v>1719</v>
      </c>
      <c r="V141" s="96">
        <f t="shared" si="28"/>
        <v>31.443204682641301</v>
      </c>
      <c r="W141" s="45">
        <v>2150</v>
      </c>
      <c r="X141" s="96">
        <f t="shared" si="29"/>
        <v>39.326870312785807</v>
      </c>
      <c r="Y141" s="102">
        <v>3317</v>
      </c>
      <c r="Z141" s="96">
        <f t="shared" si="30"/>
        <v>60.673129687214185</v>
      </c>
      <c r="AA141" s="53">
        <v>1410</v>
      </c>
      <c r="AB141" s="45">
        <v>0</v>
      </c>
      <c r="AC141" s="105">
        <f t="shared" si="37"/>
        <v>6877</v>
      </c>
      <c r="AD141" s="48">
        <v>663</v>
      </c>
      <c r="AE141" s="48" t="s">
        <v>67</v>
      </c>
      <c r="AF141" s="49">
        <f t="shared" si="38"/>
        <v>663</v>
      </c>
      <c r="AG141" s="37">
        <v>1070.4100000000001</v>
      </c>
      <c r="AH141" s="33">
        <v>2708.42</v>
      </c>
      <c r="AI141" s="109">
        <f t="shared" si="31"/>
        <v>3778.83</v>
      </c>
      <c r="AJ141" s="26">
        <v>5967.28</v>
      </c>
      <c r="AK141" s="26">
        <v>1388.58</v>
      </c>
      <c r="AL141" s="69">
        <f t="shared" si="32"/>
        <v>7355.86</v>
      </c>
      <c r="AM141" s="24"/>
      <c r="AN141" s="20">
        <v>119</v>
      </c>
      <c r="AO141" s="20">
        <v>68</v>
      </c>
      <c r="AP141" s="106">
        <f t="shared" si="24"/>
        <v>187</v>
      </c>
      <c r="AQ141" s="20">
        <v>79588.33</v>
      </c>
      <c r="AR141" s="20">
        <v>87771.67</v>
      </c>
      <c r="AS141" s="118">
        <f t="shared" si="25"/>
        <v>0.76992436030316558</v>
      </c>
      <c r="AT141" s="118">
        <f t="shared" si="26"/>
        <v>0.69831105756825895</v>
      </c>
      <c r="AU141" s="20">
        <v>25</v>
      </c>
      <c r="AV141" s="20">
        <v>0</v>
      </c>
      <c r="AW141" s="19" t="s">
        <v>67</v>
      </c>
      <c r="AX141" s="22">
        <v>0</v>
      </c>
      <c r="AY141" s="22">
        <v>750</v>
      </c>
      <c r="AZ141" s="22" t="s">
        <v>67</v>
      </c>
      <c r="BA141" s="20">
        <v>947</v>
      </c>
      <c r="BB141" s="106">
        <f t="shared" si="39"/>
        <v>1697</v>
      </c>
      <c r="BC141" s="24"/>
      <c r="BD141" s="50">
        <v>15</v>
      </c>
      <c r="BE141" s="70" t="s">
        <v>66</v>
      </c>
      <c r="BF141" s="114" t="str">
        <f t="shared" si="40"/>
        <v>..</v>
      </c>
      <c r="BG141" s="73"/>
      <c r="BH141" s="73"/>
      <c r="BI141" s="72">
        <v>81</v>
      </c>
      <c r="BJ141" s="72">
        <v>34</v>
      </c>
      <c r="BK141" s="71" t="s">
        <v>66</v>
      </c>
      <c r="BL141" s="114">
        <f t="shared" si="33"/>
        <v>115</v>
      </c>
    </row>
    <row r="142" spans="1:64" x14ac:dyDescent="0.2">
      <c r="A142" s="13" t="str">
        <f t="shared" si="35"/>
        <v>2002Q1</v>
      </c>
      <c r="B142" s="11">
        <f t="shared" si="34"/>
        <v>2002</v>
      </c>
      <c r="C142" s="11" t="s">
        <v>1</v>
      </c>
      <c r="D142" s="45">
        <v>1408</v>
      </c>
      <c r="E142" s="45">
        <v>2733</v>
      </c>
      <c r="F142" s="87">
        <f t="shared" si="36"/>
        <v>4141</v>
      </c>
      <c r="G142" s="41">
        <v>1401254</v>
      </c>
      <c r="H142" s="41">
        <v>1557953</v>
      </c>
      <c r="I142" s="93">
        <f t="shared" ref="I142:I205" si="42">H142-G142</f>
        <v>156699</v>
      </c>
      <c r="J142" s="95">
        <f t="shared" si="41"/>
        <v>1.0957842769872499</v>
      </c>
      <c r="K142" s="95">
        <f t="shared" si="23"/>
        <v>0.98603982864172801</v>
      </c>
      <c r="L142" s="50">
        <v>455</v>
      </c>
      <c r="M142" s="50">
        <v>176</v>
      </c>
      <c r="N142" s="42" t="s">
        <v>67</v>
      </c>
      <c r="O142" s="42" t="s">
        <v>67</v>
      </c>
      <c r="P142" s="51">
        <v>151</v>
      </c>
      <c r="Q142" s="99">
        <v>6027</v>
      </c>
      <c r="R142" s="42" t="s">
        <v>67</v>
      </c>
      <c r="S142" s="45">
        <v>4223</v>
      </c>
      <c r="T142" s="96">
        <f t="shared" si="27"/>
        <v>70.068027210884352</v>
      </c>
      <c r="U142" s="45">
        <v>1804</v>
      </c>
      <c r="V142" s="96">
        <f t="shared" si="28"/>
        <v>29.931972789115648</v>
      </c>
      <c r="W142" s="45">
        <v>2261</v>
      </c>
      <c r="X142" s="96">
        <f t="shared" si="29"/>
        <v>37.51451800232288</v>
      </c>
      <c r="Y142" s="102">
        <v>3766</v>
      </c>
      <c r="Z142" s="96">
        <f t="shared" si="30"/>
        <v>62.48548199767712</v>
      </c>
      <c r="AA142" s="53">
        <v>1384</v>
      </c>
      <c r="AB142" s="45">
        <v>0</v>
      </c>
      <c r="AC142" s="105">
        <f t="shared" si="37"/>
        <v>7411</v>
      </c>
      <c r="AD142" s="48">
        <v>565</v>
      </c>
      <c r="AE142" s="48" t="s">
        <v>67</v>
      </c>
      <c r="AF142" s="49">
        <f t="shared" si="38"/>
        <v>565</v>
      </c>
      <c r="AG142" s="39">
        <v>1364.35</v>
      </c>
      <c r="AH142" s="35">
        <v>2617.7399999999998</v>
      </c>
      <c r="AI142" s="109">
        <f t="shared" si="31"/>
        <v>3982.0899999999997</v>
      </c>
      <c r="AJ142" s="26">
        <v>6018.56</v>
      </c>
      <c r="AK142" s="26">
        <v>1492.33</v>
      </c>
      <c r="AL142" s="69">
        <f t="shared" si="32"/>
        <v>7510.89</v>
      </c>
      <c r="AM142" s="24"/>
      <c r="AN142" s="20">
        <v>170</v>
      </c>
      <c r="AO142" s="20">
        <v>70</v>
      </c>
      <c r="AP142" s="106">
        <f t="shared" si="24"/>
        <v>240</v>
      </c>
      <c r="AQ142" s="20">
        <v>80404</v>
      </c>
      <c r="AR142" s="20">
        <v>88403</v>
      </c>
      <c r="AS142" s="118">
        <f t="shared" si="25"/>
        <v>0.85447219004758379</v>
      </c>
      <c r="AT142" s="118">
        <f t="shared" si="26"/>
        <v>0.77512786893736674</v>
      </c>
      <c r="AU142" s="20">
        <v>26</v>
      </c>
      <c r="AV142" s="20">
        <v>5</v>
      </c>
      <c r="AW142" s="19" t="s">
        <v>67</v>
      </c>
      <c r="AX142" s="22">
        <v>0</v>
      </c>
      <c r="AY142" s="22">
        <v>832</v>
      </c>
      <c r="AZ142" s="22" t="s">
        <v>67</v>
      </c>
      <c r="BA142" s="20">
        <v>1026</v>
      </c>
      <c r="BB142" s="106">
        <f t="shared" si="39"/>
        <v>1858</v>
      </c>
      <c r="BC142" s="24"/>
      <c r="BD142" s="50">
        <v>12</v>
      </c>
      <c r="BE142" s="50">
        <v>12</v>
      </c>
      <c r="BF142" s="114">
        <f t="shared" si="40"/>
        <v>24</v>
      </c>
      <c r="BG142" s="73"/>
      <c r="BH142" s="73"/>
      <c r="BI142" s="72">
        <v>74</v>
      </c>
      <c r="BJ142" s="72">
        <v>47</v>
      </c>
      <c r="BK142" s="71" t="s">
        <v>66</v>
      </c>
      <c r="BL142" s="114">
        <f t="shared" si="33"/>
        <v>121</v>
      </c>
    </row>
    <row r="143" spans="1:64" x14ac:dyDescent="0.2">
      <c r="A143" s="13" t="str">
        <f t="shared" si="35"/>
        <v>2002Q2</v>
      </c>
      <c r="B143" s="11">
        <f t="shared" si="34"/>
        <v>2002</v>
      </c>
      <c r="C143" s="11" t="s">
        <v>2</v>
      </c>
      <c r="D143" s="45">
        <v>1679</v>
      </c>
      <c r="E143" s="45">
        <v>2387</v>
      </c>
      <c r="F143" s="87">
        <f t="shared" si="36"/>
        <v>4066</v>
      </c>
      <c r="G143" s="41">
        <v>1420588</v>
      </c>
      <c r="H143" s="41">
        <v>1585496.3330000001</v>
      </c>
      <c r="I143" s="93">
        <f t="shared" si="42"/>
        <v>164908.3330000001</v>
      </c>
      <c r="J143" s="95">
        <f t="shared" si="41"/>
        <v>1.1128239996609721</v>
      </c>
      <c r="K143" s="95">
        <f t="shared" si="23"/>
        <v>0.99987291577950921</v>
      </c>
      <c r="L143" s="50">
        <v>346</v>
      </c>
      <c r="M143" s="50">
        <v>151</v>
      </c>
      <c r="N143" s="42" t="s">
        <v>67</v>
      </c>
      <c r="O143" s="42" t="s">
        <v>67</v>
      </c>
      <c r="P143" s="51">
        <v>151</v>
      </c>
      <c r="Q143" s="99">
        <v>6269</v>
      </c>
      <c r="R143" s="42" t="s">
        <v>67</v>
      </c>
      <c r="S143" s="50">
        <v>4333</v>
      </c>
      <c r="T143" s="96">
        <f t="shared" si="27"/>
        <v>69.117881639814954</v>
      </c>
      <c r="U143" s="50">
        <v>1936</v>
      </c>
      <c r="V143" s="96">
        <f t="shared" si="28"/>
        <v>30.882118360185039</v>
      </c>
      <c r="W143" s="50">
        <v>2235</v>
      </c>
      <c r="X143" s="96">
        <f t="shared" si="29"/>
        <v>35.651619078002874</v>
      </c>
      <c r="Y143" s="102">
        <v>4034</v>
      </c>
      <c r="Z143" s="96">
        <f t="shared" si="30"/>
        <v>64.348380921997133</v>
      </c>
      <c r="AA143" s="53">
        <v>1592</v>
      </c>
      <c r="AB143" s="45">
        <v>0</v>
      </c>
      <c r="AC143" s="105">
        <f t="shared" si="37"/>
        <v>7861</v>
      </c>
      <c r="AD143" s="48">
        <v>458</v>
      </c>
      <c r="AE143" s="48" t="s">
        <v>67</v>
      </c>
      <c r="AF143" s="49">
        <f t="shared" si="38"/>
        <v>458</v>
      </c>
      <c r="AG143" s="39">
        <v>1555.97</v>
      </c>
      <c r="AH143" s="35">
        <v>2480.7199999999998</v>
      </c>
      <c r="AI143" s="109">
        <f t="shared" si="31"/>
        <v>4036.6899999999996</v>
      </c>
      <c r="AJ143" s="26">
        <v>5768.73</v>
      </c>
      <c r="AK143" s="26">
        <v>1574.66</v>
      </c>
      <c r="AL143" s="69">
        <f t="shared" si="32"/>
        <v>7343.3899999999994</v>
      </c>
      <c r="AM143" s="24"/>
      <c r="AN143" s="20">
        <v>123</v>
      </c>
      <c r="AO143" s="20">
        <v>52</v>
      </c>
      <c r="AP143" s="106">
        <f t="shared" si="24"/>
        <v>175</v>
      </c>
      <c r="AQ143" s="20">
        <v>81431.332999999999</v>
      </c>
      <c r="AR143" s="20">
        <v>89836.667000000001</v>
      </c>
      <c r="AS143" s="118">
        <f t="shared" si="25"/>
        <v>0.88735858831696934</v>
      </c>
      <c r="AT143" s="118">
        <f t="shared" si="26"/>
        <v>0.80494606478733099</v>
      </c>
      <c r="AU143" s="20">
        <v>26</v>
      </c>
      <c r="AV143" s="20">
        <v>3</v>
      </c>
      <c r="AW143" s="19" t="s">
        <v>67</v>
      </c>
      <c r="AX143" s="22">
        <v>1</v>
      </c>
      <c r="AY143" s="22">
        <v>797</v>
      </c>
      <c r="AZ143" s="22" t="s">
        <v>67</v>
      </c>
      <c r="BA143" s="20">
        <v>1339</v>
      </c>
      <c r="BB143" s="106">
        <f t="shared" si="39"/>
        <v>2136</v>
      </c>
      <c r="BC143" s="24"/>
      <c r="BD143" s="50">
        <v>5</v>
      </c>
      <c r="BE143" s="50">
        <v>14</v>
      </c>
      <c r="BF143" s="114">
        <f t="shared" si="40"/>
        <v>19</v>
      </c>
      <c r="BG143" s="73"/>
      <c r="BH143" s="73"/>
      <c r="BI143" s="72">
        <v>85</v>
      </c>
      <c r="BJ143" s="72">
        <v>58</v>
      </c>
      <c r="BK143" s="71" t="s">
        <v>66</v>
      </c>
      <c r="BL143" s="114">
        <f t="shared" si="33"/>
        <v>143</v>
      </c>
    </row>
    <row r="144" spans="1:64" x14ac:dyDescent="0.2">
      <c r="A144" s="13" t="str">
        <f t="shared" si="35"/>
        <v>2002Q3</v>
      </c>
      <c r="B144" s="11">
        <f t="shared" si="34"/>
        <v>2002</v>
      </c>
      <c r="C144" s="11" t="s">
        <v>3</v>
      </c>
      <c r="D144" s="44">
        <v>1390</v>
      </c>
      <c r="E144" s="44">
        <v>2418</v>
      </c>
      <c r="F144" s="87">
        <f t="shared" si="36"/>
        <v>3808</v>
      </c>
      <c r="G144" s="41">
        <v>1449309</v>
      </c>
      <c r="H144" s="41">
        <v>1614244</v>
      </c>
      <c r="I144" s="93">
        <f t="shared" si="42"/>
        <v>164935</v>
      </c>
      <c r="J144" s="95">
        <f t="shared" si="41"/>
        <v>1.110764429033962</v>
      </c>
      <c r="K144" s="95">
        <f t="shared" si="23"/>
        <v>0.99749463027010676</v>
      </c>
      <c r="L144" s="50">
        <v>377</v>
      </c>
      <c r="M144" s="50">
        <v>162</v>
      </c>
      <c r="N144" s="42" t="s">
        <v>67</v>
      </c>
      <c r="O144" s="42" t="s">
        <v>67</v>
      </c>
      <c r="P144" s="51">
        <v>181</v>
      </c>
      <c r="Q144" s="99">
        <v>6249</v>
      </c>
      <c r="R144" s="42" t="s">
        <v>67</v>
      </c>
      <c r="S144" s="50">
        <v>4374</v>
      </c>
      <c r="T144" s="96">
        <f t="shared" si="27"/>
        <v>69.995199231877109</v>
      </c>
      <c r="U144" s="50">
        <v>1875</v>
      </c>
      <c r="V144" s="96">
        <f t="shared" si="28"/>
        <v>30.004800768122902</v>
      </c>
      <c r="W144" s="50">
        <v>2244</v>
      </c>
      <c r="X144" s="96">
        <f t="shared" si="29"/>
        <v>35.909745559289483</v>
      </c>
      <c r="Y144" s="102">
        <v>4005</v>
      </c>
      <c r="Z144" s="96">
        <f t="shared" si="30"/>
        <v>64.09025444071051</v>
      </c>
      <c r="AA144" s="53">
        <v>1643</v>
      </c>
      <c r="AB144" s="45">
        <v>0</v>
      </c>
      <c r="AC144" s="105">
        <f t="shared" si="37"/>
        <v>7892</v>
      </c>
      <c r="AD144" s="48">
        <v>630</v>
      </c>
      <c r="AE144" s="48" t="s">
        <v>67</v>
      </c>
      <c r="AF144" s="49">
        <f t="shared" si="38"/>
        <v>630</v>
      </c>
      <c r="AG144" s="39">
        <v>1502.46</v>
      </c>
      <c r="AH144" s="35">
        <v>2427.29</v>
      </c>
      <c r="AI144" s="109">
        <f t="shared" si="31"/>
        <v>3929.75</v>
      </c>
      <c r="AJ144" s="26">
        <v>6246.19</v>
      </c>
      <c r="AK144" s="26">
        <v>1568.59</v>
      </c>
      <c r="AL144" s="69">
        <f t="shared" si="32"/>
        <v>7814.78</v>
      </c>
      <c r="AM144" s="24"/>
      <c r="AN144" s="20">
        <v>139</v>
      </c>
      <c r="AO144" s="20">
        <v>45</v>
      </c>
      <c r="AP144" s="106">
        <f t="shared" si="24"/>
        <v>184</v>
      </c>
      <c r="AQ144" s="20">
        <v>83080</v>
      </c>
      <c r="AR144" s="20">
        <v>91514</v>
      </c>
      <c r="AS144" s="118">
        <f t="shared" si="25"/>
        <v>0.96886425593291381</v>
      </c>
      <c r="AT144" s="118">
        <f t="shared" si="26"/>
        <v>0.87937823550670491</v>
      </c>
      <c r="AU144" s="20">
        <v>29</v>
      </c>
      <c r="AV144" s="20">
        <v>3</v>
      </c>
      <c r="AW144" s="19" t="s">
        <v>67</v>
      </c>
      <c r="AX144" s="22">
        <v>1</v>
      </c>
      <c r="AY144" s="22">
        <v>834</v>
      </c>
      <c r="AZ144" s="22" t="s">
        <v>67</v>
      </c>
      <c r="BA144" s="20">
        <v>1413</v>
      </c>
      <c r="BB144" s="106">
        <f t="shared" si="39"/>
        <v>2247</v>
      </c>
      <c r="BC144" s="24"/>
      <c r="BD144" s="50">
        <v>17</v>
      </c>
      <c r="BE144" s="50">
        <v>16</v>
      </c>
      <c r="BF144" s="114">
        <f t="shared" si="40"/>
        <v>33</v>
      </c>
      <c r="BG144" s="73"/>
      <c r="BH144" s="73"/>
      <c r="BI144" s="72">
        <v>74</v>
      </c>
      <c r="BJ144" s="72">
        <v>47</v>
      </c>
      <c r="BK144" s="71" t="s">
        <v>66</v>
      </c>
      <c r="BL144" s="114">
        <f t="shared" si="33"/>
        <v>121</v>
      </c>
    </row>
    <row r="145" spans="1:64" x14ac:dyDescent="0.2">
      <c r="A145" s="13" t="str">
        <f t="shared" si="35"/>
        <v>2002Q4</v>
      </c>
      <c r="B145" s="11">
        <f t="shared" si="34"/>
        <v>2002</v>
      </c>
      <c r="C145" s="11" t="s">
        <v>4</v>
      </c>
      <c r="D145" s="44">
        <v>1754</v>
      </c>
      <c r="E145" s="44">
        <v>2537</v>
      </c>
      <c r="F145" s="87">
        <f t="shared" si="36"/>
        <v>4291</v>
      </c>
      <c r="G145" s="41">
        <v>1486866</v>
      </c>
      <c r="H145" s="41">
        <v>1648257.3</v>
      </c>
      <c r="I145" s="93">
        <f t="shared" si="42"/>
        <v>161391.30000000005</v>
      </c>
      <c r="J145" s="95">
        <f t="shared" si="41"/>
        <v>1.1327510842708524</v>
      </c>
      <c r="K145" s="95">
        <f>SUM(F142:F145)/AVERAGE(H142:H145)*100</f>
        <v>1.0181783116466923</v>
      </c>
      <c r="L145" s="50">
        <v>363</v>
      </c>
      <c r="M145" s="50">
        <v>154</v>
      </c>
      <c r="N145" s="42" t="s">
        <v>67</v>
      </c>
      <c r="O145" s="42" t="s">
        <v>67</v>
      </c>
      <c r="P145" s="51">
        <v>168</v>
      </c>
      <c r="Q145" s="99">
        <v>5747</v>
      </c>
      <c r="R145" s="42" t="s">
        <v>67</v>
      </c>
      <c r="S145" s="50">
        <v>4025</v>
      </c>
      <c r="T145" s="96">
        <f t="shared" si="27"/>
        <v>70.03654080389768</v>
      </c>
      <c r="U145" s="50">
        <v>1722</v>
      </c>
      <c r="V145" s="96">
        <f t="shared" si="28"/>
        <v>29.963459196102317</v>
      </c>
      <c r="W145" s="50">
        <v>2114</v>
      </c>
      <c r="X145" s="96">
        <f t="shared" si="29"/>
        <v>36.784409257003652</v>
      </c>
      <c r="Y145" s="102">
        <v>3633</v>
      </c>
      <c r="Z145" s="96">
        <f t="shared" si="30"/>
        <v>63.215590742996341</v>
      </c>
      <c r="AA145" s="53">
        <v>1676</v>
      </c>
      <c r="AB145" s="45">
        <v>0</v>
      </c>
      <c r="AC145" s="105">
        <f t="shared" si="37"/>
        <v>7423</v>
      </c>
      <c r="AD145" s="48">
        <v>669</v>
      </c>
      <c r="AE145" s="48" t="s">
        <v>67</v>
      </c>
      <c r="AF145" s="49">
        <f t="shared" si="38"/>
        <v>669</v>
      </c>
      <c r="AG145" s="39">
        <v>1808.22</v>
      </c>
      <c r="AH145" s="35">
        <v>2549.2600000000002</v>
      </c>
      <c r="AI145" s="109">
        <f t="shared" si="31"/>
        <v>4357.4800000000005</v>
      </c>
      <c r="AJ145" s="26">
        <v>6258.52</v>
      </c>
      <c r="AK145" s="26">
        <v>1659.42</v>
      </c>
      <c r="AL145" s="69">
        <f t="shared" si="32"/>
        <v>7917.9400000000005</v>
      </c>
      <c r="AM145" s="24"/>
      <c r="AN145" s="20">
        <v>124</v>
      </c>
      <c r="AO145" s="20">
        <v>65</v>
      </c>
      <c r="AP145" s="106">
        <f t="shared" si="24"/>
        <v>189</v>
      </c>
      <c r="AQ145" s="20">
        <v>85206.6</v>
      </c>
      <c r="AR145" s="20">
        <v>93500.3</v>
      </c>
      <c r="AS145" s="118">
        <f t="shared" si="25"/>
        <v>0.95479872281009592</v>
      </c>
      <c r="AT145" s="118">
        <f t="shared" si="26"/>
        <v>0.86771247841596166</v>
      </c>
      <c r="AU145" s="20">
        <v>37</v>
      </c>
      <c r="AV145" s="20">
        <v>1</v>
      </c>
      <c r="AW145" s="19" t="s">
        <v>67</v>
      </c>
      <c r="AX145" s="22">
        <v>0</v>
      </c>
      <c r="AY145" s="22">
        <v>752</v>
      </c>
      <c r="AZ145" s="22" t="s">
        <v>67</v>
      </c>
      <c r="BA145" s="20">
        <v>1396</v>
      </c>
      <c r="BB145" s="106">
        <f t="shared" si="39"/>
        <v>2148</v>
      </c>
      <c r="BC145" s="24"/>
      <c r="BD145" s="50">
        <v>15</v>
      </c>
      <c r="BE145" s="50">
        <v>11</v>
      </c>
      <c r="BF145" s="114">
        <f t="shared" si="40"/>
        <v>26</v>
      </c>
      <c r="BG145" s="73"/>
      <c r="BH145" s="73"/>
      <c r="BI145" s="72">
        <v>101</v>
      </c>
      <c r="BJ145" s="72">
        <v>55</v>
      </c>
      <c r="BK145" s="71" t="s">
        <v>66</v>
      </c>
      <c r="BL145" s="114">
        <f t="shared" si="33"/>
        <v>156</v>
      </c>
    </row>
    <row r="146" spans="1:64" x14ac:dyDescent="0.2">
      <c r="A146" s="13" t="str">
        <f t="shared" si="35"/>
        <v>2003Q1</v>
      </c>
      <c r="B146" s="11">
        <f t="shared" si="34"/>
        <v>2003</v>
      </c>
      <c r="C146" s="11" t="s">
        <v>1</v>
      </c>
      <c r="D146" s="44">
        <v>1585</v>
      </c>
      <c r="E146" s="44">
        <v>2212</v>
      </c>
      <c r="F146" s="87">
        <f t="shared" si="36"/>
        <v>3797</v>
      </c>
      <c r="G146" s="41">
        <v>1523829.6</v>
      </c>
      <c r="H146" s="41">
        <v>1680784.6</v>
      </c>
      <c r="I146" s="93">
        <f t="shared" si="42"/>
        <v>156955</v>
      </c>
      <c r="J146" s="95">
        <f t="shared" si="41"/>
        <v>1.0857409166552363</v>
      </c>
      <c r="K146" s="95">
        <f>SUM(F143:F146)/AVERAGE(H143:H146)*100</f>
        <v>0.97794654073890885</v>
      </c>
      <c r="L146" s="50">
        <v>315</v>
      </c>
      <c r="M146" s="50">
        <v>160</v>
      </c>
      <c r="N146" s="42" t="s">
        <v>67</v>
      </c>
      <c r="O146" s="42" t="s">
        <v>67</v>
      </c>
      <c r="P146" s="51">
        <v>178</v>
      </c>
      <c r="Q146" s="99">
        <v>6912</v>
      </c>
      <c r="R146" s="42" t="s">
        <v>67</v>
      </c>
      <c r="S146" s="44">
        <v>4892</v>
      </c>
      <c r="T146" s="96">
        <f t="shared" si="27"/>
        <v>70.775462962962962</v>
      </c>
      <c r="U146" s="44">
        <v>2020</v>
      </c>
      <c r="V146" s="96">
        <f t="shared" si="28"/>
        <v>29.224537037037035</v>
      </c>
      <c r="W146" s="44">
        <v>2468</v>
      </c>
      <c r="X146" s="96">
        <f t="shared" si="29"/>
        <v>35.706018518518519</v>
      </c>
      <c r="Y146" s="102">
        <v>4444</v>
      </c>
      <c r="Z146" s="96">
        <f t="shared" si="30"/>
        <v>64.293981481481481</v>
      </c>
      <c r="AA146" s="53">
        <v>1514</v>
      </c>
      <c r="AB146" s="45">
        <v>0</v>
      </c>
      <c r="AC146" s="105">
        <f t="shared" si="37"/>
        <v>8426</v>
      </c>
      <c r="AD146" s="48">
        <v>462</v>
      </c>
      <c r="AE146" s="48">
        <v>2</v>
      </c>
      <c r="AF146" s="49">
        <f t="shared" ref="AF146:AF178" si="43">AD146+AE146</f>
        <v>464</v>
      </c>
      <c r="AG146" s="39">
        <v>1550</v>
      </c>
      <c r="AH146" s="35">
        <v>2174</v>
      </c>
      <c r="AI146" s="109">
        <f t="shared" si="31"/>
        <v>3724</v>
      </c>
      <c r="AJ146" s="26">
        <v>6532</v>
      </c>
      <c r="AK146" s="26">
        <v>1700</v>
      </c>
      <c r="AL146" s="69">
        <f t="shared" si="32"/>
        <v>8232</v>
      </c>
      <c r="AM146" s="24"/>
      <c r="AN146" s="20">
        <v>133</v>
      </c>
      <c r="AO146" s="20">
        <v>50</v>
      </c>
      <c r="AP146" s="106">
        <f t="shared" si="24"/>
        <v>183</v>
      </c>
      <c r="AQ146" s="20">
        <v>87689</v>
      </c>
      <c r="AR146" s="20">
        <v>95933</v>
      </c>
      <c r="AS146" s="118">
        <f t="shared" si="25"/>
        <v>0.8666093414268996</v>
      </c>
      <c r="AT146" s="118">
        <f t="shared" si="26"/>
        <v>0.78859936249616758</v>
      </c>
      <c r="AU146" s="20">
        <v>41</v>
      </c>
      <c r="AV146" s="20">
        <v>4</v>
      </c>
      <c r="AW146" s="19" t="s">
        <v>67</v>
      </c>
      <c r="AX146" s="22">
        <v>0</v>
      </c>
      <c r="AY146" s="22">
        <v>799</v>
      </c>
      <c r="AZ146" s="22" t="s">
        <v>67</v>
      </c>
      <c r="BA146" s="20">
        <v>1216</v>
      </c>
      <c r="BB146" s="106">
        <f t="shared" si="39"/>
        <v>2015</v>
      </c>
      <c r="BC146" s="24"/>
      <c r="BD146" s="50">
        <v>30</v>
      </c>
      <c r="BE146" s="50">
        <v>7</v>
      </c>
      <c r="BF146" s="114">
        <f t="shared" si="40"/>
        <v>37</v>
      </c>
      <c r="BG146" s="73"/>
      <c r="BH146" s="73"/>
      <c r="BI146" s="72">
        <v>90</v>
      </c>
      <c r="BJ146" s="72">
        <v>56</v>
      </c>
      <c r="BK146" s="71" t="s">
        <v>66</v>
      </c>
      <c r="BL146" s="114">
        <f t="shared" si="33"/>
        <v>146</v>
      </c>
    </row>
    <row r="147" spans="1:64" x14ac:dyDescent="0.2">
      <c r="A147" s="13" t="str">
        <f t="shared" si="35"/>
        <v>2003Q2</v>
      </c>
      <c r="B147" s="11">
        <f t="shared" si="34"/>
        <v>2003</v>
      </c>
      <c r="C147" s="11" t="s">
        <v>2</v>
      </c>
      <c r="D147" s="44">
        <v>1470</v>
      </c>
      <c r="E147" s="44">
        <v>2297</v>
      </c>
      <c r="F147" s="87">
        <f t="shared" si="36"/>
        <v>3767</v>
      </c>
      <c r="G147" s="41">
        <v>1579244</v>
      </c>
      <c r="H147" s="41">
        <v>1738866</v>
      </c>
      <c r="I147" s="93">
        <f t="shared" si="42"/>
        <v>159622</v>
      </c>
      <c r="J147" s="95">
        <f t="shared" si="41"/>
        <v>1.0374138266141255</v>
      </c>
      <c r="K147" s="95">
        <f>SUM(F144:F147)/AVERAGE(H144:H147)*100</f>
        <v>0.93760215178586392</v>
      </c>
      <c r="L147" s="50">
        <v>298</v>
      </c>
      <c r="M147" s="50">
        <v>167</v>
      </c>
      <c r="N147" s="42" t="s">
        <v>67</v>
      </c>
      <c r="O147" s="42" t="s">
        <v>67</v>
      </c>
      <c r="P147" s="51">
        <v>165</v>
      </c>
      <c r="Q147" s="99">
        <v>6948</v>
      </c>
      <c r="R147" s="42" t="s">
        <v>67</v>
      </c>
      <c r="S147" s="44">
        <v>4851</v>
      </c>
      <c r="T147" s="96">
        <f t="shared" si="27"/>
        <v>69.818652849740943</v>
      </c>
      <c r="U147" s="44">
        <v>2097</v>
      </c>
      <c r="V147" s="96">
        <f t="shared" si="28"/>
        <v>30.181347150259068</v>
      </c>
      <c r="W147" s="44">
        <v>2267</v>
      </c>
      <c r="X147" s="96">
        <f t="shared" si="29"/>
        <v>32.628094415659184</v>
      </c>
      <c r="Y147" s="102">
        <v>4681</v>
      </c>
      <c r="Z147" s="96">
        <f t="shared" si="30"/>
        <v>67.371905584340823</v>
      </c>
      <c r="AA147" s="53">
        <v>1941</v>
      </c>
      <c r="AB147" s="45">
        <v>0</v>
      </c>
      <c r="AC147" s="105">
        <f t="shared" si="37"/>
        <v>8889</v>
      </c>
      <c r="AD147" s="48">
        <v>432</v>
      </c>
      <c r="AE147" s="48">
        <v>12</v>
      </c>
      <c r="AF147" s="49">
        <f t="shared" si="43"/>
        <v>444</v>
      </c>
      <c r="AG147" s="39">
        <v>1440</v>
      </c>
      <c r="AH147" s="35">
        <v>2258</v>
      </c>
      <c r="AI147" s="109">
        <f t="shared" si="31"/>
        <v>3698</v>
      </c>
      <c r="AJ147" s="26">
        <v>6748</v>
      </c>
      <c r="AK147" s="26">
        <v>1896</v>
      </c>
      <c r="AL147" s="69">
        <f t="shared" si="32"/>
        <v>8644</v>
      </c>
      <c r="AM147" s="24"/>
      <c r="AN147" s="20">
        <v>118</v>
      </c>
      <c r="AO147" s="20">
        <v>50</v>
      </c>
      <c r="AP147" s="106">
        <f t="shared" si="24"/>
        <v>168</v>
      </c>
      <c r="AQ147" s="20">
        <v>90809</v>
      </c>
      <c r="AR147" s="20">
        <v>99411</v>
      </c>
      <c r="AS147" s="118">
        <f t="shared" si="25"/>
        <v>0.83510052061135354</v>
      </c>
      <c r="AT147" s="118">
        <f t="shared" si="26"/>
        <v>0.76138735502814059</v>
      </c>
      <c r="AU147" s="20">
        <v>21</v>
      </c>
      <c r="AV147" s="20">
        <v>1</v>
      </c>
      <c r="AW147" s="19" t="s">
        <v>67</v>
      </c>
      <c r="AX147" s="22">
        <v>3</v>
      </c>
      <c r="AY147" s="22">
        <v>858</v>
      </c>
      <c r="AZ147" s="22" t="s">
        <v>67</v>
      </c>
      <c r="BA147" s="20">
        <v>1331</v>
      </c>
      <c r="BB147" s="106">
        <f t="shared" si="39"/>
        <v>2189</v>
      </c>
      <c r="BC147" s="24"/>
      <c r="BD147" s="50">
        <v>25</v>
      </c>
      <c r="BE147" s="50">
        <v>17</v>
      </c>
      <c r="BF147" s="114">
        <f t="shared" si="40"/>
        <v>42</v>
      </c>
      <c r="BG147" s="73"/>
      <c r="BH147" s="73"/>
      <c r="BI147" s="72">
        <v>141</v>
      </c>
      <c r="BJ147" s="72">
        <v>78</v>
      </c>
      <c r="BK147" s="71" t="s">
        <v>66</v>
      </c>
      <c r="BL147" s="114">
        <f t="shared" si="33"/>
        <v>219</v>
      </c>
    </row>
    <row r="148" spans="1:64" x14ac:dyDescent="0.2">
      <c r="A148" s="13" t="str">
        <f t="shared" si="35"/>
        <v>2003Q3</v>
      </c>
      <c r="B148" s="11">
        <f t="shared" si="34"/>
        <v>2003</v>
      </c>
      <c r="C148" s="11" t="s">
        <v>3</v>
      </c>
      <c r="D148" s="45">
        <v>1075</v>
      </c>
      <c r="E148" s="45">
        <v>2239</v>
      </c>
      <c r="F148" s="87">
        <f t="shared" si="36"/>
        <v>3314</v>
      </c>
      <c r="G148" s="41">
        <v>1635599</v>
      </c>
      <c r="H148" s="41">
        <v>1794811</v>
      </c>
      <c r="I148" s="93">
        <f t="shared" si="42"/>
        <v>159212</v>
      </c>
      <c r="J148" s="95">
        <f t="shared" ref="J148:J179" si="44">SUM(F145:F148,O145:O148)/AVERAGE(G145:G148)*100</f>
        <v>0.97463053236871744</v>
      </c>
      <c r="K148" s="95">
        <f t="shared" ref="K148:K179" si="45">SUM(F145:F148,O145:O148)/AVERAGE(H145:H148)*100</f>
        <v>0.88413937513891172</v>
      </c>
      <c r="L148" s="50">
        <v>334</v>
      </c>
      <c r="M148" s="50">
        <v>154</v>
      </c>
      <c r="N148" s="50">
        <v>14</v>
      </c>
      <c r="O148" s="50">
        <v>0</v>
      </c>
      <c r="P148" s="51">
        <v>171</v>
      </c>
      <c r="Q148" s="99">
        <v>7221</v>
      </c>
      <c r="R148" s="42" t="s">
        <v>67</v>
      </c>
      <c r="S148" s="44">
        <v>5148</v>
      </c>
      <c r="T148" s="96">
        <f t="shared" si="27"/>
        <v>71.292064810968014</v>
      </c>
      <c r="U148" s="44">
        <v>2073</v>
      </c>
      <c r="V148" s="96">
        <f t="shared" si="28"/>
        <v>28.707935189031993</v>
      </c>
      <c r="W148" s="44">
        <v>2296</v>
      </c>
      <c r="X148" s="96">
        <f t="shared" si="29"/>
        <v>31.79615011771223</v>
      </c>
      <c r="Y148" s="102">
        <v>4925</v>
      </c>
      <c r="Z148" s="96">
        <f t="shared" si="30"/>
        <v>68.20384988228777</v>
      </c>
      <c r="AA148" s="53">
        <v>2070</v>
      </c>
      <c r="AB148" s="45">
        <v>0</v>
      </c>
      <c r="AC148" s="105">
        <f t="shared" si="37"/>
        <v>9291</v>
      </c>
      <c r="AD148" s="48">
        <v>885</v>
      </c>
      <c r="AE148" s="48">
        <v>32</v>
      </c>
      <c r="AF148" s="49">
        <f t="shared" si="43"/>
        <v>917</v>
      </c>
      <c r="AG148" s="39">
        <v>1137</v>
      </c>
      <c r="AH148" s="35">
        <v>2282</v>
      </c>
      <c r="AI148" s="109">
        <f t="shared" si="31"/>
        <v>3419</v>
      </c>
      <c r="AJ148" s="26">
        <v>7245</v>
      </c>
      <c r="AK148" s="26">
        <v>1957</v>
      </c>
      <c r="AL148" s="69">
        <f t="shared" si="32"/>
        <v>9202</v>
      </c>
      <c r="AM148" s="24"/>
      <c r="AN148" s="20">
        <v>109</v>
      </c>
      <c r="AO148" s="20">
        <v>45</v>
      </c>
      <c r="AP148" s="106">
        <f t="shared" si="24"/>
        <v>154</v>
      </c>
      <c r="AQ148" s="20">
        <v>93359</v>
      </c>
      <c r="AR148" s="20">
        <v>102064</v>
      </c>
      <c r="AS148" s="118">
        <f t="shared" si="25"/>
        <v>0.77745253226596045</v>
      </c>
      <c r="AT148" s="118">
        <f t="shared" si="26"/>
        <v>0.71014097168057067</v>
      </c>
      <c r="AU148" s="20">
        <v>36</v>
      </c>
      <c r="AV148" s="20">
        <v>1</v>
      </c>
      <c r="AW148" s="20">
        <v>1</v>
      </c>
      <c r="AX148" s="22">
        <v>1</v>
      </c>
      <c r="AY148" s="22">
        <v>845</v>
      </c>
      <c r="AZ148" s="22" t="s">
        <v>67</v>
      </c>
      <c r="BA148" s="20">
        <v>1522</v>
      </c>
      <c r="BB148" s="106">
        <f t="shared" si="39"/>
        <v>2367</v>
      </c>
      <c r="BC148" s="24"/>
      <c r="BD148" s="50">
        <v>19</v>
      </c>
      <c r="BE148" s="50">
        <v>10</v>
      </c>
      <c r="BF148" s="114">
        <f t="shared" si="40"/>
        <v>29</v>
      </c>
      <c r="BG148" s="73"/>
      <c r="BH148" s="73"/>
      <c r="BI148" s="72">
        <v>109</v>
      </c>
      <c r="BJ148" s="72">
        <v>96</v>
      </c>
      <c r="BK148" s="71" t="s">
        <v>66</v>
      </c>
      <c r="BL148" s="114">
        <f t="shared" si="33"/>
        <v>205</v>
      </c>
    </row>
    <row r="149" spans="1:64" x14ac:dyDescent="0.2">
      <c r="A149" s="13" t="str">
        <f t="shared" si="35"/>
        <v>2003Q4</v>
      </c>
      <c r="B149" s="11">
        <f t="shared" si="34"/>
        <v>2003</v>
      </c>
      <c r="C149" s="11" t="s">
        <v>4</v>
      </c>
      <c r="D149" s="45">
        <v>1104</v>
      </c>
      <c r="E149" s="45">
        <v>2202</v>
      </c>
      <c r="F149" s="87">
        <f t="shared" si="36"/>
        <v>3306</v>
      </c>
      <c r="G149" s="41">
        <v>1689041.3</v>
      </c>
      <c r="H149" s="41">
        <v>1848742</v>
      </c>
      <c r="I149" s="93">
        <f t="shared" si="42"/>
        <v>159700.69999999995</v>
      </c>
      <c r="J149" s="95">
        <f t="shared" si="44"/>
        <v>0.88267774332644144</v>
      </c>
      <c r="K149" s="95">
        <f t="shared" si="45"/>
        <v>0.80326156816433836</v>
      </c>
      <c r="L149" s="50">
        <v>314</v>
      </c>
      <c r="M149" s="50">
        <v>16</v>
      </c>
      <c r="N149" s="50">
        <v>233</v>
      </c>
      <c r="O149" s="50">
        <v>0</v>
      </c>
      <c r="P149" s="51">
        <v>212</v>
      </c>
      <c r="Q149" s="99">
        <v>6940</v>
      </c>
      <c r="R149" s="42" t="s">
        <v>67</v>
      </c>
      <c r="S149" s="44">
        <v>4991</v>
      </c>
      <c r="T149" s="96">
        <f t="shared" si="27"/>
        <v>71.9164265129683</v>
      </c>
      <c r="U149" s="44">
        <v>1949</v>
      </c>
      <c r="V149" s="96">
        <f t="shared" si="28"/>
        <v>28.0835734870317</v>
      </c>
      <c r="W149" s="44">
        <v>2108</v>
      </c>
      <c r="X149" s="96">
        <f t="shared" si="29"/>
        <v>30.37463976945245</v>
      </c>
      <c r="Y149" s="102">
        <v>4832</v>
      </c>
      <c r="Z149" s="96">
        <f t="shared" si="30"/>
        <v>69.625360230547557</v>
      </c>
      <c r="AA149" s="53">
        <v>2058</v>
      </c>
      <c r="AB149" s="45">
        <v>0</v>
      </c>
      <c r="AC149" s="105">
        <f t="shared" si="37"/>
        <v>8998</v>
      </c>
      <c r="AD149" s="48">
        <v>941</v>
      </c>
      <c r="AE149" s="48">
        <v>46</v>
      </c>
      <c r="AF149" s="49">
        <f t="shared" si="43"/>
        <v>987</v>
      </c>
      <c r="AG149" s="39">
        <v>1107</v>
      </c>
      <c r="AH149" s="35">
        <v>2236</v>
      </c>
      <c r="AI149" s="109">
        <f t="shared" si="31"/>
        <v>3343</v>
      </c>
      <c r="AJ149" s="26">
        <v>7496</v>
      </c>
      <c r="AK149" s="26">
        <v>2030</v>
      </c>
      <c r="AL149" s="69">
        <f t="shared" si="32"/>
        <v>9526</v>
      </c>
      <c r="AM149" s="24"/>
      <c r="AN149" s="20">
        <v>76</v>
      </c>
      <c r="AO149" s="20">
        <v>50</v>
      </c>
      <c r="AP149" s="106">
        <f t="shared" si="24"/>
        <v>126</v>
      </c>
      <c r="AQ149" s="20">
        <v>96094.332999999999</v>
      </c>
      <c r="AR149" s="20">
        <v>104796.333</v>
      </c>
      <c r="AS149" s="118">
        <f t="shared" si="25"/>
        <v>0.68596028160061051</v>
      </c>
      <c r="AT149" s="118">
        <f t="shared" si="26"/>
        <v>0.62754172267955155</v>
      </c>
      <c r="AU149" s="20">
        <v>20</v>
      </c>
      <c r="AV149" s="20">
        <v>0</v>
      </c>
      <c r="AW149" s="20">
        <v>2</v>
      </c>
      <c r="AX149" s="22">
        <v>3</v>
      </c>
      <c r="AY149" s="22">
        <v>826</v>
      </c>
      <c r="AZ149" s="22" t="s">
        <v>67</v>
      </c>
      <c r="BA149" s="20">
        <v>1383</v>
      </c>
      <c r="BB149" s="106">
        <f t="shared" si="39"/>
        <v>2209</v>
      </c>
      <c r="BC149" s="24"/>
      <c r="BD149" s="50">
        <v>21</v>
      </c>
      <c r="BE149" s="50">
        <v>13</v>
      </c>
      <c r="BF149" s="114">
        <f t="shared" si="40"/>
        <v>34</v>
      </c>
      <c r="BG149" s="73"/>
      <c r="BH149" s="73"/>
      <c r="BI149" s="72">
        <v>177</v>
      </c>
      <c r="BJ149" s="72">
        <v>88</v>
      </c>
      <c r="BK149" s="71" t="s">
        <v>66</v>
      </c>
      <c r="BL149" s="114">
        <f t="shared" si="33"/>
        <v>265</v>
      </c>
    </row>
    <row r="150" spans="1:64" x14ac:dyDescent="0.2">
      <c r="A150" s="13" t="str">
        <f t="shared" si="35"/>
        <v>2004Q1</v>
      </c>
      <c r="B150" s="11">
        <f t="shared" si="34"/>
        <v>2004</v>
      </c>
      <c r="C150" s="11" t="s">
        <v>1</v>
      </c>
      <c r="D150" s="44">
        <v>1208</v>
      </c>
      <c r="E150" s="44">
        <v>2040</v>
      </c>
      <c r="F150" s="87">
        <f t="shared" si="36"/>
        <v>3248</v>
      </c>
      <c r="G150" s="41">
        <v>1724146.6666666667</v>
      </c>
      <c r="H150" s="41">
        <v>1887273.6666666667</v>
      </c>
      <c r="I150" s="93">
        <f t="shared" si="42"/>
        <v>163127</v>
      </c>
      <c r="J150" s="95">
        <f t="shared" si="44"/>
        <v>0.82359301389101847</v>
      </c>
      <c r="K150" s="95">
        <f t="shared" si="45"/>
        <v>0.75089831858091383</v>
      </c>
      <c r="L150" s="50">
        <v>224</v>
      </c>
      <c r="M150" s="50">
        <v>1</v>
      </c>
      <c r="N150" s="50">
        <v>331</v>
      </c>
      <c r="O150" s="50">
        <v>12</v>
      </c>
      <c r="P150" s="51">
        <v>176</v>
      </c>
      <c r="Q150" s="99">
        <v>8524</v>
      </c>
      <c r="R150" s="42" t="s">
        <v>67</v>
      </c>
      <c r="S150" s="44">
        <v>6472</v>
      </c>
      <c r="T150" s="96">
        <f t="shared" si="27"/>
        <v>75.926794931956834</v>
      </c>
      <c r="U150" s="44">
        <v>2052</v>
      </c>
      <c r="V150" s="96">
        <f t="shared" si="28"/>
        <v>24.073205068043173</v>
      </c>
      <c r="W150" s="44">
        <v>2437</v>
      </c>
      <c r="X150" s="96">
        <f t="shared" si="29"/>
        <v>28.589863913655559</v>
      </c>
      <c r="Y150" s="102">
        <v>6087</v>
      </c>
      <c r="Z150" s="96">
        <f t="shared" si="30"/>
        <v>71.410136086344451</v>
      </c>
      <c r="AA150" s="53">
        <v>2141</v>
      </c>
      <c r="AB150" s="45">
        <v>0</v>
      </c>
      <c r="AC150" s="105">
        <f t="shared" si="37"/>
        <v>10665</v>
      </c>
      <c r="AD150" s="48">
        <v>709</v>
      </c>
      <c r="AE150" s="48">
        <v>74</v>
      </c>
      <c r="AF150" s="49">
        <f t="shared" si="43"/>
        <v>783</v>
      </c>
      <c r="AG150" s="38">
        <v>1179</v>
      </c>
      <c r="AH150" s="34">
        <v>1998</v>
      </c>
      <c r="AI150" s="109">
        <f t="shared" si="31"/>
        <v>3177</v>
      </c>
      <c r="AJ150" s="26">
        <v>8027</v>
      </c>
      <c r="AK150" s="26">
        <v>2386</v>
      </c>
      <c r="AL150" s="69">
        <f t="shared" si="32"/>
        <v>10413</v>
      </c>
      <c r="AM150" s="24"/>
      <c r="AN150" s="20">
        <v>95</v>
      </c>
      <c r="AO150" s="20">
        <v>58</v>
      </c>
      <c r="AP150" s="106">
        <f t="shared" si="24"/>
        <v>153</v>
      </c>
      <c r="AQ150" s="20">
        <v>98193</v>
      </c>
      <c r="AR150" s="20">
        <v>106953</v>
      </c>
      <c r="AS150" s="118">
        <f t="shared" si="25"/>
        <v>0.63521366734182083</v>
      </c>
      <c r="AT150" s="118">
        <f t="shared" si="26"/>
        <v>0.58176632110384463</v>
      </c>
      <c r="AU150" s="20">
        <v>30</v>
      </c>
      <c r="AV150" s="20">
        <v>0</v>
      </c>
      <c r="AW150" s="20">
        <v>9</v>
      </c>
      <c r="AX150" s="22">
        <v>1</v>
      </c>
      <c r="AY150" s="22">
        <v>720</v>
      </c>
      <c r="AZ150" s="22" t="s">
        <v>67</v>
      </c>
      <c r="BA150" s="20">
        <v>1434</v>
      </c>
      <c r="BB150" s="106">
        <f t="shared" si="39"/>
        <v>2154</v>
      </c>
      <c r="BC150" s="24"/>
      <c r="BD150" s="50">
        <v>19</v>
      </c>
      <c r="BE150" s="50">
        <v>16</v>
      </c>
      <c r="BF150" s="114">
        <f t="shared" si="40"/>
        <v>35</v>
      </c>
      <c r="BG150" s="73"/>
      <c r="BH150" s="73"/>
      <c r="BI150" s="72">
        <v>155</v>
      </c>
      <c r="BJ150" s="72">
        <v>98</v>
      </c>
      <c r="BK150" s="71" t="s">
        <v>66</v>
      </c>
      <c r="BL150" s="114">
        <f t="shared" si="33"/>
        <v>253</v>
      </c>
    </row>
    <row r="151" spans="1:64" x14ac:dyDescent="0.2">
      <c r="A151" s="13" t="str">
        <f t="shared" si="35"/>
        <v>2004Q2</v>
      </c>
      <c r="B151" s="11">
        <f t="shared" si="34"/>
        <v>2004</v>
      </c>
      <c r="C151" s="11" t="s">
        <v>2</v>
      </c>
      <c r="D151" s="44">
        <v>1197</v>
      </c>
      <c r="E151" s="44">
        <v>1911</v>
      </c>
      <c r="F151" s="87">
        <f t="shared" si="36"/>
        <v>3108</v>
      </c>
      <c r="G151" s="41">
        <v>1759576.6</v>
      </c>
      <c r="H151" s="41">
        <v>1927919.6</v>
      </c>
      <c r="I151" s="93">
        <f t="shared" si="42"/>
        <v>168343</v>
      </c>
      <c r="J151" s="95">
        <f t="shared" si="44"/>
        <v>0.76411900584607939</v>
      </c>
      <c r="K151" s="95">
        <f t="shared" si="45"/>
        <v>0.69748987483991265</v>
      </c>
      <c r="L151" s="50">
        <v>199</v>
      </c>
      <c r="M151" s="50">
        <v>0</v>
      </c>
      <c r="N151" s="50">
        <v>392</v>
      </c>
      <c r="O151" s="50">
        <v>18</v>
      </c>
      <c r="P151" s="51">
        <v>154</v>
      </c>
      <c r="Q151" s="99">
        <v>9060</v>
      </c>
      <c r="R151" s="42" t="s">
        <v>67</v>
      </c>
      <c r="S151" s="44">
        <v>7028</v>
      </c>
      <c r="T151" s="96">
        <f t="shared" si="27"/>
        <v>77.571743929359826</v>
      </c>
      <c r="U151" s="44">
        <v>2032</v>
      </c>
      <c r="V151" s="96">
        <f t="shared" si="28"/>
        <v>22.428256070640177</v>
      </c>
      <c r="W151" s="44">
        <v>2455</v>
      </c>
      <c r="X151" s="96">
        <f t="shared" si="29"/>
        <v>27.097130242825607</v>
      </c>
      <c r="Y151" s="102">
        <v>6605</v>
      </c>
      <c r="Z151" s="96">
        <f t="shared" si="30"/>
        <v>72.902869757174386</v>
      </c>
      <c r="AA151" s="53">
        <f>2475+1</f>
        <v>2476</v>
      </c>
      <c r="AB151" s="45">
        <v>1</v>
      </c>
      <c r="AC151" s="105">
        <f t="shared" si="37"/>
        <v>11537</v>
      </c>
      <c r="AD151" s="48">
        <v>413</v>
      </c>
      <c r="AE151" s="48">
        <v>844</v>
      </c>
      <c r="AF151" s="49">
        <f t="shared" si="43"/>
        <v>1257</v>
      </c>
      <c r="AG151" s="38">
        <v>1172</v>
      </c>
      <c r="AH151" s="34">
        <v>1883</v>
      </c>
      <c r="AI151" s="109">
        <f t="shared" si="31"/>
        <v>3055</v>
      </c>
      <c r="AJ151" s="26">
        <v>8813</v>
      </c>
      <c r="AK151" s="26">
        <v>2416</v>
      </c>
      <c r="AL151" s="69">
        <f t="shared" si="32"/>
        <v>11229</v>
      </c>
      <c r="AM151" s="24"/>
      <c r="AN151" s="20">
        <v>110</v>
      </c>
      <c r="AO151" s="20">
        <v>37</v>
      </c>
      <c r="AP151" s="106">
        <f t="shared" si="24"/>
        <v>147</v>
      </c>
      <c r="AQ151" s="20">
        <v>100174</v>
      </c>
      <c r="AR151" s="20">
        <v>109407</v>
      </c>
      <c r="AS151" s="118">
        <f t="shared" si="25"/>
        <v>0.59821515340713205</v>
      </c>
      <c r="AT151" s="118">
        <f t="shared" si="26"/>
        <v>0.54817782112562163</v>
      </c>
      <c r="AU151" s="20">
        <v>23</v>
      </c>
      <c r="AV151" s="20">
        <v>0</v>
      </c>
      <c r="AW151" s="20">
        <v>11</v>
      </c>
      <c r="AX151" s="22">
        <v>4</v>
      </c>
      <c r="AY151" s="22">
        <v>851</v>
      </c>
      <c r="AZ151" s="22" t="s">
        <v>67</v>
      </c>
      <c r="BA151" s="20">
        <v>1309</v>
      </c>
      <c r="BB151" s="106">
        <f t="shared" si="39"/>
        <v>2160</v>
      </c>
      <c r="BC151" s="24"/>
      <c r="BD151" s="50">
        <v>27</v>
      </c>
      <c r="BE151" s="50">
        <v>12</v>
      </c>
      <c r="BF151" s="114">
        <f t="shared" si="40"/>
        <v>39</v>
      </c>
      <c r="BG151" s="73"/>
      <c r="BH151" s="73"/>
      <c r="BI151" s="72">
        <v>173</v>
      </c>
      <c r="BJ151" s="72">
        <v>109</v>
      </c>
      <c r="BK151" s="71" t="s">
        <v>66</v>
      </c>
      <c r="BL151" s="114">
        <f t="shared" si="33"/>
        <v>282</v>
      </c>
    </row>
    <row r="152" spans="1:64" x14ac:dyDescent="0.2">
      <c r="A152" s="13" t="str">
        <f t="shared" si="35"/>
        <v>2004Q3</v>
      </c>
      <c r="B152" s="11">
        <f t="shared" si="34"/>
        <v>2004</v>
      </c>
      <c r="C152" s="11" t="s">
        <v>3</v>
      </c>
      <c r="D152" s="44">
        <v>1061</v>
      </c>
      <c r="E152" s="44">
        <v>1839</v>
      </c>
      <c r="F152" s="87">
        <f t="shared" si="36"/>
        <v>2900</v>
      </c>
      <c r="G152" s="41">
        <v>1790374.3</v>
      </c>
      <c r="H152" s="41">
        <v>1958287</v>
      </c>
      <c r="I152" s="93">
        <f t="shared" si="42"/>
        <v>167912.69999999995</v>
      </c>
      <c r="J152" s="95">
        <f t="shared" si="44"/>
        <v>0.72541997175737305</v>
      </c>
      <c r="K152" s="95">
        <f t="shared" si="45"/>
        <v>0.66269387368691612</v>
      </c>
      <c r="L152" s="50">
        <v>203</v>
      </c>
      <c r="M152" s="50">
        <v>0</v>
      </c>
      <c r="N152" s="50">
        <v>421</v>
      </c>
      <c r="O152" s="50">
        <v>36</v>
      </c>
      <c r="P152" s="51">
        <v>137</v>
      </c>
      <c r="Q152" s="99">
        <v>9315</v>
      </c>
      <c r="R152" s="42" t="s">
        <v>67</v>
      </c>
      <c r="S152" s="44">
        <v>7236</v>
      </c>
      <c r="T152" s="96">
        <f t="shared" si="27"/>
        <v>77.681159420289859</v>
      </c>
      <c r="U152" s="44">
        <v>2079</v>
      </c>
      <c r="V152" s="96">
        <f t="shared" si="28"/>
        <v>22.318840579710145</v>
      </c>
      <c r="W152" s="44">
        <v>2300</v>
      </c>
      <c r="X152" s="96">
        <f t="shared" si="29"/>
        <v>24.691358024691358</v>
      </c>
      <c r="Y152" s="102">
        <v>7015</v>
      </c>
      <c r="Z152" s="96">
        <f t="shared" si="30"/>
        <v>75.308641975308646</v>
      </c>
      <c r="AA152" s="53">
        <v>2912</v>
      </c>
      <c r="AB152" s="45">
        <v>0</v>
      </c>
      <c r="AC152" s="105">
        <f t="shared" si="37"/>
        <v>12227</v>
      </c>
      <c r="AD152" s="48">
        <v>90</v>
      </c>
      <c r="AE152" s="48">
        <v>2050</v>
      </c>
      <c r="AF152" s="49">
        <f t="shared" si="43"/>
        <v>2140</v>
      </c>
      <c r="AG152" s="38">
        <v>1115</v>
      </c>
      <c r="AH152" s="34">
        <v>1872</v>
      </c>
      <c r="AI152" s="109">
        <f t="shared" si="31"/>
        <v>2987</v>
      </c>
      <c r="AJ152" s="26">
        <v>9365</v>
      </c>
      <c r="AK152" s="26">
        <v>2759</v>
      </c>
      <c r="AL152" s="69">
        <f t="shared" si="32"/>
        <v>12124</v>
      </c>
      <c r="AM152" s="24"/>
      <c r="AN152" s="20">
        <v>113</v>
      </c>
      <c r="AO152" s="20">
        <v>55</v>
      </c>
      <c r="AP152" s="106">
        <f t="shared" si="24"/>
        <v>168</v>
      </c>
      <c r="AQ152" s="20">
        <v>101980</v>
      </c>
      <c r="AR152" s="20">
        <v>111035</v>
      </c>
      <c r="AS152" s="118">
        <f t="shared" si="25"/>
        <v>0.59933205804249479</v>
      </c>
      <c r="AT152" s="118">
        <f t="shared" si="26"/>
        <v>0.54975651258605873</v>
      </c>
      <c r="AU152" s="20">
        <v>13</v>
      </c>
      <c r="AV152" s="20">
        <v>0</v>
      </c>
      <c r="AW152" s="20">
        <v>7</v>
      </c>
      <c r="AX152" s="22">
        <v>0</v>
      </c>
      <c r="AY152" s="22">
        <v>923</v>
      </c>
      <c r="AZ152" s="22" t="s">
        <v>67</v>
      </c>
      <c r="BA152" s="20">
        <v>1518</v>
      </c>
      <c r="BB152" s="106">
        <f t="shared" si="39"/>
        <v>2441</v>
      </c>
      <c r="BC152" s="24"/>
      <c r="BD152" s="50">
        <v>20</v>
      </c>
      <c r="BE152" s="50">
        <v>8</v>
      </c>
      <c r="BF152" s="114">
        <f t="shared" si="40"/>
        <v>28</v>
      </c>
      <c r="BG152" s="73"/>
      <c r="BH152" s="73"/>
      <c r="BI152" s="72">
        <v>165</v>
      </c>
      <c r="BJ152" s="72">
        <v>121</v>
      </c>
      <c r="BK152" s="71" t="s">
        <v>66</v>
      </c>
      <c r="BL152" s="114">
        <f t="shared" si="33"/>
        <v>286</v>
      </c>
    </row>
    <row r="153" spans="1:64" x14ac:dyDescent="0.2">
      <c r="A153" s="13" t="str">
        <f t="shared" si="35"/>
        <v>2004Q4</v>
      </c>
      <c r="B153" s="11">
        <f t="shared" si="34"/>
        <v>2004</v>
      </c>
      <c r="C153" s="11" t="s">
        <v>4</v>
      </c>
      <c r="D153" s="44">
        <v>1118</v>
      </c>
      <c r="E153" s="44">
        <v>1818</v>
      </c>
      <c r="F153" s="87">
        <f t="shared" si="36"/>
        <v>2936</v>
      </c>
      <c r="G153" s="41">
        <v>1820052</v>
      </c>
      <c r="H153" s="41">
        <v>1992784.6</v>
      </c>
      <c r="I153" s="93">
        <f t="shared" si="42"/>
        <v>172732.60000000009</v>
      </c>
      <c r="J153" s="95">
        <f t="shared" si="44"/>
        <v>0.69674313369776864</v>
      </c>
      <c r="K153" s="95">
        <f t="shared" si="45"/>
        <v>0.63644494294996701</v>
      </c>
      <c r="L153" s="50">
        <v>238</v>
      </c>
      <c r="M153" s="50">
        <v>0</v>
      </c>
      <c r="N153" s="50">
        <v>457</v>
      </c>
      <c r="O153" s="50">
        <v>99</v>
      </c>
      <c r="P153" s="51">
        <v>130</v>
      </c>
      <c r="Q153" s="99">
        <v>8999</v>
      </c>
      <c r="R153" s="42" t="s">
        <v>67</v>
      </c>
      <c r="S153" s="44">
        <v>7136</v>
      </c>
      <c r="T153" s="96">
        <f t="shared" si="27"/>
        <v>79.29769974441605</v>
      </c>
      <c r="U153" s="44">
        <v>1863</v>
      </c>
      <c r="V153" s="96">
        <f t="shared" si="28"/>
        <v>20.702300255583953</v>
      </c>
      <c r="W153" s="44">
        <v>2372</v>
      </c>
      <c r="X153" s="96">
        <f t="shared" si="29"/>
        <v>26.358484276030669</v>
      </c>
      <c r="Y153" s="102">
        <v>6627</v>
      </c>
      <c r="Z153" s="96">
        <f t="shared" si="30"/>
        <v>73.641515723969334</v>
      </c>
      <c r="AA153" s="53">
        <v>3224</v>
      </c>
      <c r="AB153" s="45">
        <v>0</v>
      </c>
      <c r="AC153" s="105">
        <f t="shared" si="37"/>
        <v>12223</v>
      </c>
      <c r="AD153" s="48">
        <v>26</v>
      </c>
      <c r="AE153" s="48">
        <v>2032</v>
      </c>
      <c r="AF153" s="49">
        <f t="shared" si="43"/>
        <v>2058</v>
      </c>
      <c r="AG153" s="38">
        <v>1118</v>
      </c>
      <c r="AH153" s="34">
        <v>1854</v>
      </c>
      <c r="AI153" s="109">
        <f t="shared" si="31"/>
        <v>2972</v>
      </c>
      <c r="AJ153" s="26">
        <v>9693</v>
      </c>
      <c r="AK153" s="26">
        <v>3192</v>
      </c>
      <c r="AL153" s="69">
        <f t="shared" si="32"/>
        <v>12885</v>
      </c>
      <c r="AM153" s="24"/>
      <c r="AN153" s="20">
        <v>113</v>
      </c>
      <c r="AO153" s="20">
        <v>40</v>
      </c>
      <c r="AP153" s="106">
        <f t="shared" si="24"/>
        <v>153</v>
      </c>
      <c r="AQ153" s="20">
        <v>103628.7</v>
      </c>
      <c r="AR153" s="20">
        <v>112755.7</v>
      </c>
      <c r="AS153" s="118">
        <f t="shared" si="25"/>
        <v>0.61488846977677114</v>
      </c>
      <c r="AT153" s="118">
        <f t="shared" si="26"/>
        <v>0.56435216392930876</v>
      </c>
      <c r="AU153" s="20">
        <v>16</v>
      </c>
      <c r="AV153" s="20">
        <v>0</v>
      </c>
      <c r="AW153" s="20">
        <v>4</v>
      </c>
      <c r="AX153" s="22">
        <v>1</v>
      </c>
      <c r="AY153" s="22">
        <v>803</v>
      </c>
      <c r="AZ153" s="22" t="s">
        <v>67</v>
      </c>
      <c r="BA153" s="20">
        <v>1763</v>
      </c>
      <c r="BB153" s="106">
        <f t="shared" si="39"/>
        <v>2566</v>
      </c>
      <c r="BC153" s="24"/>
      <c r="BD153" s="50">
        <v>10</v>
      </c>
      <c r="BE153" s="50">
        <v>9</v>
      </c>
      <c r="BF153" s="114">
        <f t="shared" si="40"/>
        <v>19</v>
      </c>
      <c r="BG153" s="73"/>
      <c r="BH153" s="73"/>
      <c r="BI153" s="72">
        <v>173</v>
      </c>
      <c r="BJ153" s="72">
        <v>121</v>
      </c>
      <c r="BK153" s="71" t="s">
        <v>66</v>
      </c>
      <c r="BL153" s="114">
        <f t="shared" si="33"/>
        <v>294</v>
      </c>
    </row>
    <row r="154" spans="1:64" x14ac:dyDescent="0.2">
      <c r="A154" s="13" t="str">
        <f t="shared" si="35"/>
        <v>2005Q1</v>
      </c>
      <c r="B154" s="11">
        <f t="shared" si="34"/>
        <v>2005</v>
      </c>
      <c r="C154" s="11" t="s">
        <v>1</v>
      </c>
      <c r="D154" s="44">
        <v>1101</v>
      </c>
      <c r="E154" s="44">
        <v>1909</v>
      </c>
      <c r="F154" s="87">
        <f t="shared" si="36"/>
        <v>3010</v>
      </c>
      <c r="G154" s="41">
        <v>1852631.6</v>
      </c>
      <c r="H154" s="41">
        <v>2023757.3</v>
      </c>
      <c r="I154" s="93">
        <f t="shared" si="42"/>
        <v>171125.69999999995</v>
      </c>
      <c r="J154" s="95">
        <f t="shared" si="44"/>
        <v>0.68180107964759951</v>
      </c>
      <c r="K154" s="95">
        <f t="shared" si="45"/>
        <v>0.62312497987250892</v>
      </c>
      <c r="L154" s="50">
        <v>114</v>
      </c>
      <c r="M154" s="50">
        <v>0</v>
      </c>
      <c r="N154" s="50">
        <v>489</v>
      </c>
      <c r="O154" s="50">
        <v>204</v>
      </c>
      <c r="P154" s="51">
        <v>179</v>
      </c>
      <c r="Q154" s="99">
        <v>10188</v>
      </c>
      <c r="R154" s="42" t="s">
        <v>67</v>
      </c>
      <c r="S154" s="44">
        <v>8219</v>
      </c>
      <c r="T154" s="96">
        <f t="shared" si="27"/>
        <v>80.673341185708679</v>
      </c>
      <c r="U154" s="44">
        <v>1969</v>
      </c>
      <c r="V154" s="96">
        <f t="shared" si="28"/>
        <v>19.326658814291324</v>
      </c>
      <c r="W154" s="44">
        <v>2446</v>
      </c>
      <c r="X154" s="96">
        <f t="shared" si="29"/>
        <v>24.008637612877894</v>
      </c>
      <c r="Y154" s="102">
        <v>7742</v>
      </c>
      <c r="Z154" s="96">
        <f t="shared" si="30"/>
        <v>75.991362387122109</v>
      </c>
      <c r="AA154" s="53">
        <v>3002</v>
      </c>
      <c r="AB154" s="45">
        <v>0</v>
      </c>
      <c r="AC154" s="105">
        <f t="shared" si="37"/>
        <v>13190</v>
      </c>
      <c r="AD154" s="48">
        <v>25</v>
      </c>
      <c r="AE154" s="48">
        <v>1405</v>
      </c>
      <c r="AF154" s="49">
        <f t="shared" si="43"/>
        <v>1430</v>
      </c>
      <c r="AG154" s="38">
        <v>1182</v>
      </c>
      <c r="AH154" s="34">
        <v>1854</v>
      </c>
      <c r="AI154" s="109">
        <f t="shared" si="31"/>
        <v>3036</v>
      </c>
      <c r="AJ154" s="26">
        <v>10089</v>
      </c>
      <c r="AK154" s="26">
        <v>3362</v>
      </c>
      <c r="AL154" s="69">
        <f t="shared" si="32"/>
        <v>13451</v>
      </c>
      <c r="AM154" s="24"/>
      <c r="AN154" s="20">
        <v>103</v>
      </c>
      <c r="AO154" s="20">
        <v>37</v>
      </c>
      <c r="AP154" s="106">
        <f t="shared" si="24"/>
        <v>140</v>
      </c>
      <c r="AQ154" s="20">
        <v>105284.33</v>
      </c>
      <c r="AR154" s="20">
        <v>114583</v>
      </c>
      <c r="AS154" s="118">
        <f t="shared" si="25"/>
        <v>0.59163100480230679</v>
      </c>
      <c r="AT154" s="118">
        <f t="shared" si="26"/>
        <v>0.54312300641809708</v>
      </c>
      <c r="AU154" s="20">
        <v>27</v>
      </c>
      <c r="AV154" s="20">
        <v>0</v>
      </c>
      <c r="AW154" s="20">
        <v>8</v>
      </c>
      <c r="AX154" s="22">
        <v>1</v>
      </c>
      <c r="AY154" s="22">
        <v>908</v>
      </c>
      <c r="AZ154" s="22" t="s">
        <v>67</v>
      </c>
      <c r="BA154" s="20">
        <v>1554</v>
      </c>
      <c r="BB154" s="106">
        <f t="shared" si="39"/>
        <v>2462</v>
      </c>
      <c r="BC154" s="24"/>
      <c r="BD154" s="50">
        <v>15</v>
      </c>
      <c r="BE154" s="50">
        <v>14</v>
      </c>
      <c r="BF154" s="114">
        <f t="shared" si="40"/>
        <v>29</v>
      </c>
      <c r="BG154" s="73"/>
      <c r="BH154" s="73"/>
      <c r="BI154" s="72">
        <v>174</v>
      </c>
      <c r="BJ154" s="72">
        <v>128</v>
      </c>
      <c r="BK154" s="71" t="s">
        <v>66</v>
      </c>
      <c r="BL154" s="114">
        <f t="shared" si="33"/>
        <v>302</v>
      </c>
    </row>
    <row r="155" spans="1:64" x14ac:dyDescent="0.2">
      <c r="A155" s="13" t="str">
        <f t="shared" si="35"/>
        <v>2005Q2</v>
      </c>
      <c r="B155" s="11">
        <f t="shared" si="34"/>
        <v>2005</v>
      </c>
      <c r="C155" s="11" t="s">
        <v>2</v>
      </c>
      <c r="D155" s="44">
        <v>1422</v>
      </c>
      <c r="E155" s="44">
        <v>1985</v>
      </c>
      <c r="F155" s="87">
        <f t="shared" si="36"/>
        <v>3407</v>
      </c>
      <c r="G155" s="41">
        <v>1887570.3</v>
      </c>
      <c r="H155" s="41">
        <v>2066862.3</v>
      </c>
      <c r="I155" s="93">
        <f t="shared" si="42"/>
        <v>179292</v>
      </c>
      <c r="J155" s="95">
        <f t="shared" si="44"/>
        <v>0.69321966250449174</v>
      </c>
      <c r="K155" s="95">
        <f t="shared" si="45"/>
        <v>0.63364780781435626</v>
      </c>
      <c r="L155" s="50">
        <v>167</v>
      </c>
      <c r="M155" s="50">
        <v>4</v>
      </c>
      <c r="N155" s="50">
        <v>568</v>
      </c>
      <c r="O155" s="50">
        <v>147</v>
      </c>
      <c r="P155" s="51">
        <v>183</v>
      </c>
      <c r="Q155" s="99">
        <v>12338</v>
      </c>
      <c r="R155" s="42" t="s">
        <v>67</v>
      </c>
      <c r="S155" s="45">
        <v>9840</v>
      </c>
      <c r="T155" s="96">
        <f t="shared" si="27"/>
        <v>79.753606743394386</v>
      </c>
      <c r="U155" s="45">
        <v>2498</v>
      </c>
      <c r="V155" s="96">
        <f t="shared" si="28"/>
        <v>20.246393256605607</v>
      </c>
      <c r="W155" s="45">
        <v>2835</v>
      </c>
      <c r="X155" s="96">
        <f t="shared" si="29"/>
        <v>22.977792186740153</v>
      </c>
      <c r="Y155" s="102">
        <v>9503</v>
      </c>
      <c r="Z155" s="96">
        <f t="shared" si="30"/>
        <v>77.02220781325984</v>
      </c>
      <c r="AA155" s="53">
        <v>4535</v>
      </c>
      <c r="AB155" s="45">
        <v>0</v>
      </c>
      <c r="AC155" s="105">
        <f t="shared" si="37"/>
        <v>16873</v>
      </c>
      <c r="AD155" s="48">
        <v>11</v>
      </c>
      <c r="AE155" s="48">
        <v>1871</v>
      </c>
      <c r="AF155" s="49">
        <f t="shared" si="43"/>
        <v>1882</v>
      </c>
      <c r="AG155" s="38">
        <v>1270</v>
      </c>
      <c r="AH155" s="34">
        <v>1960</v>
      </c>
      <c r="AI155" s="109">
        <f t="shared" si="31"/>
        <v>3230</v>
      </c>
      <c r="AJ155" s="26">
        <v>11424</v>
      </c>
      <c r="AK155" s="26">
        <v>4459</v>
      </c>
      <c r="AL155" s="69">
        <f t="shared" si="32"/>
        <v>15883</v>
      </c>
      <c r="AM155" s="24"/>
      <c r="AN155" s="20">
        <v>120</v>
      </c>
      <c r="AO155" s="20">
        <v>39</v>
      </c>
      <c r="AP155" s="106">
        <f t="shared" si="24"/>
        <v>159</v>
      </c>
      <c r="AQ155" s="20">
        <v>107355.33</v>
      </c>
      <c r="AR155" s="20">
        <v>117128.33</v>
      </c>
      <c r="AS155" s="118">
        <f t="shared" si="25"/>
        <v>0.59294912716453918</v>
      </c>
      <c r="AT155" s="118">
        <f t="shared" si="26"/>
        <v>0.54445421461678223</v>
      </c>
      <c r="AU155" s="20">
        <v>9</v>
      </c>
      <c r="AV155" s="20">
        <v>0</v>
      </c>
      <c r="AW155" s="20">
        <v>7</v>
      </c>
      <c r="AX155" s="22">
        <v>4</v>
      </c>
      <c r="AY155" s="22">
        <v>1334</v>
      </c>
      <c r="AZ155" s="22" t="s">
        <v>67</v>
      </c>
      <c r="BA155" s="20">
        <v>1523</v>
      </c>
      <c r="BB155" s="106">
        <f t="shared" si="39"/>
        <v>2857</v>
      </c>
      <c r="BC155" s="24"/>
      <c r="BD155" s="50">
        <v>28</v>
      </c>
      <c r="BE155" s="50">
        <v>19</v>
      </c>
      <c r="BF155" s="114">
        <f t="shared" si="40"/>
        <v>47</v>
      </c>
      <c r="BG155" s="73"/>
      <c r="BH155" s="73"/>
      <c r="BI155" s="72">
        <v>241</v>
      </c>
      <c r="BJ155" s="72">
        <v>197</v>
      </c>
      <c r="BK155" s="71" t="s">
        <v>66</v>
      </c>
      <c r="BL155" s="114">
        <f t="shared" si="33"/>
        <v>438</v>
      </c>
    </row>
    <row r="156" spans="1:64" x14ac:dyDescent="0.2">
      <c r="A156" s="13" t="str">
        <f t="shared" si="35"/>
        <v>2005Q3</v>
      </c>
      <c r="B156" s="11">
        <f t="shared" si="34"/>
        <v>2005</v>
      </c>
      <c r="C156" s="11" t="s">
        <v>3</v>
      </c>
      <c r="D156" s="44">
        <v>1454</v>
      </c>
      <c r="E156" s="44">
        <v>1852</v>
      </c>
      <c r="F156" s="87">
        <f t="shared" si="36"/>
        <v>3306</v>
      </c>
      <c r="G156" s="41">
        <v>1920546.3333333333</v>
      </c>
      <c r="H156" s="41">
        <v>2098553</v>
      </c>
      <c r="I156" s="93">
        <f t="shared" si="42"/>
        <v>178006.66666666674</v>
      </c>
      <c r="J156" s="95">
        <f t="shared" si="44"/>
        <v>0.70890811605551629</v>
      </c>
      <c r="K156" s="95">
        <f t="shared" si="45"/>
        <v>0.64815787596640084</v>
      </c>
      <c r="L156" s="50">
        <v>170</v>
      </c>
      <c r="M156" s="50">
        <v>0</v>
      </c>
      <c r="N156" s="50">
        <v>620</v>
      </c>
      <c r="O156" s="50">
        <v>149</v>
      </c>
      <c r="P156" s="51">
        <v>130</v>
      </c>
      <c r="Q156" s="99">
        <v>12256</v>
      </c>
      <c r="R156" s="42" t="s">
        <v>67</v>
      </c>
      <c r="S156" s="45">
        <v>9902</v>
      </c>
      <c r="T156" s="96">
        <f t="shared" si="27"/>
        <v>80.793080939947785</v>
      </c>
      <c r="U156" s="45">
        <v>2354</v>
      </c>
      <c r="V156" s="96">
        <f t="shared" si="28"/>
        <v>19.206919060052218</v>
      </c>
      <c r="W156" s="45">
        <v>2850</v>
      </c>
      <c r="X156" s="96">
        <f t="shared" si="29"/>
        <v>23.253916449086162</v>
      </c>
      <c r="Y156" s="102">
        <v>9406</v>
      </c>
      <c r="Z156" s="96">
        <f t="shared" si="30"/>
        <v>76.746083550913838</v>
      </c>
      <c r="AA156" s="53">
        <v>5754</v>
      </c>
      <c r="AB156" s="45">
        <v>0</v>
      </c>
      <c r="AC156" s="105">
        <f t="shared" si="37"/>
        <v>18010</v>
      </c>
      <c r="AD156" s="48">
        <v>12</v>
      </c>
      <c r="AE156" s="48">
        <v>2888</v>
      </c>
      <c r="AF156" s="49">
        <f t="shared" si="43"/>
        <v>2900</v>
      </c>
      <c r="AG156" s="38">
        <v>1527</v>
      </c>
      <c r="AH156" s="34">
        <v>1881</v>
      </c>
      <c r="AI156" s="109">
        <f t="shared" si="31"/>
        <v>3408</v>
      </c>
      <c r="AJ156" s="26">
        <v>12383</v>
      </c>
      <c r="AK156" s="26">
        <v>5515</v>
      </c>
      <c r="AL156" s="69">
        <f t="shared" si="32"/>
        <v>17898</v>
      </c>
      <c r="AM156" s="24"/>
      <c r="AN156" s="20">
        <v>115</v>
      </c>
      <c r="AO156" s="20">
        <v>36</v>
      </c>
      <c r="AP156" s="106">
        <f t="shared" si="24"/>
        <v>151</v>
      </c>
      <c r="AQ156" s="20">
        <v>108938</v>
      </c>
      <c r="AR156" s="20">
        <v>118965</v>
      </c>
      <c r="AS156" s="118">
        <f t="shared" ref="AS156:AS172" si="46">4*(SUM($AP153:$AP156)/SUM(AQ153:AQ156))*100</f>
        <v>0.56725397992635862</v>
      </c>
      <c r="AT156" s="118">
        <f t="shared" ref="AT156:AT172" si="47">4*(SUM($AP153:$AP156)/SUM(AR153:AR156))*100</f>
        <v>0.5204646731042738</v>
      </c>
      <c r="AU156" s="20">
        <v>12</v>
      </c>
      <c r="AV156" s="20">
        <v>0</v>
      </c>
      <c r="AW156" s="20">
        <v>19</v>
      </c>
      <c r="AX156" s="22">
        <v>2</v>
      </c>
      <c r="AY156" s="22">
        <v>1496</v>
      </c>
      <c r="AZ156" s="22" t="s">
        <v>67</v>
      </c>
      <c r="BA156" s="20">
        <v>2132</v>
      </c>
      <c r="BB156" s="106">
        <f t="shared" si="39"/>
        <v>3628</v>
      </c>
      <c r="BC156" s="24"/>
      <c r="BD156" s="50">
        <v>19</v>
      </c>
      <c r="BE156" s="50">
        <v>12</v>
      </c>
      <c r="BF156" s="114">
        <f t="shared" si="40"/>
        <v>31</v>
      </c>
      <c r="BG156" s="73"/>
      <c r="BH156" s="73"/>
      <c r="BI156" s="72">
        <v>193</v>
      </c>
      <c r="BJ156" s="72">
        <v>127</v>
      </c>
      <c r="BK156" s="71" t="s">
        <v>66</v>
      </c>
      <c r="BL156" s="114">
        <f t="shared" si="33"/>
        <v>320</v>
      </c>
    </row>
    <row r="157" spans="1:64" x14ac:dyDescent="0.2">
      <c r="A157" s="13" t="str">
        <f t="shared" si="35"/>
        <v>2005Q4</v>
      </c>
      <c r="B157" s="11">
        <f t="shared" si="34"/>
        <v>2005</v>
      </c>
      <c r="C157" s="11" t="s">
        <v>4</v>
      </c>
      <c r="D157" s="44">
        <v>1256</v>
      </c>
      <c r="E157" s="44">
        <v>1914</v>
      </c>
      <c r="F157" s="87">
        <f t="shared" si="36"/>
        <v>3170</v>
      </c>
      <c r="G157" s="41">
        <v>1955670.6666666667</v>
      </c>
      <c r="H157" s="41">
        <v>2132461.3333333335</v>
      </c>
      <c r="I157" s="93">
        <f t="shared" si="42"/>
        <v>176790.66666666674</v>
      </c>
      <c r="J157" s="95">
        <f t="shared" si="44"/>
        <v>0.71288095774248972</v>
      </c>
      <c r="K157" s="95">
        <f t="shared" si="45"/>
        <v>0.65246801811974287</v>
      </c>
      <c r="L157" s="50">
        <v>139</v>
      </c>
      <c r="M157" s="50">
        <v>0</v>
      </c>
      <c r="N157" s="50">
        <v>580</v>
      </c>
      <c r="O157" s="50">
        <v>181</v>
      </c>
      <c r="P157" s="51">
        <v>112</v>
      </c>
      <c r="Q157" s="99">
        <v>12509</v>
      </c>
      <c r="R157" s="42" t="s">
        <v>67</v>
      </c>
      <c r="S157" s="45">
        <v>10170</v>
      </c>
      <c r="T157" s="96">
        <f t="shared" si="27"/>
        <v>81.301462946678399</v>
      </c>
      <c r="U157" s="45">
        <v>2339</v>
      </c>
      <c r="V157" s="96">
        <f t="shared" si="28"/>
        <v>18.698537053321608</v>
      </c>
      <c r="W157" s="45">
        <v>2708</v>
      </c>
      <c r="X157" s="96">
        <f t="shared" si="29"/>
        <v>21.648413142537372</v>
      </c>
      <c r="Y157" s="102">
        <v>9801</v>
      </c>
      <c r="Z157" s="96">
        <f t="shared" si="30"/>
        <v>78.351586857462635</v>
      </c>
      <c r="AA157" s="53">
        <v>7002</v>
      </c>
      <c r="AB157" s="45">
        <v>0</v>
      </c>
      <c r="AC157" s="105">
        <f t="shared" si="37"/>
        <v>19511</v>
      </c>
      <c r="AD157" s="48">
        <v>21</v>
      </c>
      <c r="AE157" s="48">
        <v>2869</v>
      </c>
      <c r="AF157" s="49">
        <f t="shared" si="43"/>
        <v>2890</v>
      </c>
      <c r="AG157" s="38">
        <v>1254</v>
      </c>
      <c r="AH157" s="34">
        <v>1966</v>
      </c>
      <c r="AI157" s="109">
        <f t="shared" si="31"/>
        <v>3220</v>
      </c>
      <c r="AJ157" s="26">
        <v>13395</v>
      </c>
      <c r="AK157" s="26">
        <v>6957</v>
      </c>
      <c r="AL157" s="69">
        <f t="shared" si="32"/>
        <v>20352</v>
      </c>
      <c r="AM157" s="24"/>
      <c r="AN157" s="20">
        <v>82</v>
      </c>
      <c r="AO157" s="20">
        <v>37</v>
      </c>
      <c r="AP157" s="106">
        <f t="shared" si="24"/>
        <v>119</v>
      </c>
      <c r="AQ157" s="20">
        <v>110476.66666666667</v>
      </c>
      <c r="AR157" s="20">
        <v>121066.66666666667</v>
      </c>
      <c r="AS157" s="118">
        <f t="shared" si="46"/>
        <v>0.52678560531022101</v>
      </c>
      <c r="AT157" s="118">
        <f t="shared" si="47"/>
        <v>0.48246609193611839</v>
      </c>
      <c r="AU157" s="20">
        <v>8</v>
      </c>
      <c r="AV157" s="20">
        <v>0</v>
      </c>
      <c r="AW157" s="20">
        <v>21</v>
      </c>
      <c r="AX157" s="22">
        <v>1</v>
      </c>
      <c r="AY157" s="22">
        <v>1295</v>
      </c>
      <c r="AZ157" s="22" t="s">
        <v>67</v>
      </c>
      <c r="BA157" s="20">
        <v>1655</v>
      </c>
      <c r="BB157" s="106">
        <f t="shared" si="39"/>
        <v>2950</v>
      </c>
      <c r="BC157" s="24"/>
      <c r="BD157" s="50">
        <v>23</v>
      </c>
      <c r="BE157" s="50">
        <v>8</v>
      </c>
      <c r="BF157" s="114">
        <f t="shared" si="40"/>
        <v>31</v>
      </c>
      <c r="BG157" s="73"/>
      <c r="BH157" s="73"/>
      <c r="BI157" s="72">
        <v>213</v>
      </c>
      <c r="BJ157" s="72">
        <v>181</v>
      </c>
      <c r="BK157" s="71" t="s">
        <v>66</v>
      </c>
      <c r="BL157" s="114">
        <f t="shared" si="33"/>
        <v>394</v>
      </c>
    </row>
    <row r="158" spans="1:64" x14ac:dyDescent="0.2">
      <c r="A158" s="13" t="str">
        <f t="shared" si="35"/>
        <v>2006Q1</v>
      </c>
      <c r="B158" s="11">
        <f t="shared" si="34"/>
        <v>2006</v>
      </c>
      <c r="C158" s="11" t="s">
        <v>1</v>
      </c>
      <c r="D158" s="44">
        <v>1473</v>
      </c>
      <c r="E158" s="44">
        <v>2091</v>
      </c>
      <c r="F158" s="87">
        <f t="shared" si="36"/>
        <v>3564</v>
      </c>
      <c r="G158" s="41">
        <v>1988843</v>
      </c>
      <c r="H158" s="41">
        <v>2167736</v>
      </c>
      <c r="I158" s="93">
        <f t="shared" si="42"/>
        <v>178893</v>
      </c>
      <c r="J158" s="95">
        <f t="shared" si="44"/>
        <v>0.72935246247973418</v>
      </c>
      <c r="K158" s="95">
        <f t="shared" si="45"/>
        <v>0.66792567117184309</v>
      </c>
      <c r="L158" s="50">
        <v>180</v>
      </c>
      <c r="M158" s="50">
        <v>0</v>
      </c>
      <c r="N158" s="50">
        <v>753</v>
      </c>
      <c r="O158" s="50">
        <v>212</v>
      </c>
      <c r="P158" s="51">
        <v>124</v>
      </c>
      <c r="Q158" s="98">
        <v>16283</v>
      </c>
      <c r="R158" s="42" t="s">
        <v>67</v>
      </c>
      <c r="S158" s="45">
        <v>13492</v>
      </c>
      <c r="T158" s="96">
        <f t="shared" si="27"/>
        <v>82.859423939077573</v>
      </c>
      <c r="U158" s="45">
        <v>2791</v>
      </c>
      <c r="V158" s="96">
        <f t="shared" si="28"/>
        <v>17.140576060922434</v>
      </c>
      <c r="W158" s="45">
        <v>3150</v>
      </c>
      <c r="X158" s="96">
        <f t="shared" si="29"/>
        <v>19.345329484738684</v>
      </c>
      <c r="Y158" s="102">
        <v>13133</v>
      </c>
      <c r="Z158" s="96">
        <f t="shared" si="30"/>
        <v>80.654670515261316</v>
      </c>
      <c r="AA158" s="53">
        <v>7656</v>
      </c>
      <c r="AB158" s="45">
        <v>0</v>
      </c>
      <c r="AC158" s="105">
        <f t="shared" si="37"/>
        <v>23939</v>
      </c>
      <c r="AD158" s="48">
        <v>29</v>
      </c>
      <c r="AE158" s="48">
        <v>1944</v>
      </c>
      <c r="AF158" s="49">
        <f t="shared" si="43"/>
        <v>1973</v>
      </c>
      <c r="AG158" s="38">
        <v>1439</v>
      </c>
      <c r="AH158" s="34">
        <v>2015</v>
      </c>
      <c r="AI158" s="109">
        <f t="shared" ref="AI158:AI189" si="48">AG158+AH158</f>
        <v>3454</v>
      </c>
      <c r="AJ158" s="26">
        <v>15217</v>
      </c>
      <c r="AK158" s="26">
        <v>8588</v>
      </c>
      <c r="AL158" s="69">
        <f t="shared" si="32"/>
        <v>23805</v>
      </c>
      <c r="AM158" s="24"/>
      <c r="AN158" s="20">
        <v>96</v>
      </c>
      <c r="AO158" s="20">
        <v>32</v>
      </c>
      <c r="AP158" s="106">
        <f t="shared" si="24"/>
        <v>128</v>
      </c>
      <c r="AQ158" s="20">
        <v>111816.33333333333</v>
      </c>
      <c r="AR158" s="20">
        <v>122782.33333333333</v>
      </c>
      <c r="AS158" s="118">
        <f t="shared" si="46"/>
        <v>0.50799576904277888</v>
      </c>
      <c r="AT158" s="118">
        <f t="shared" si="47"/>
        <v>0.4642224410586997</v>
      </c>
      <c r="AU158" s="20">
        <v>11</v>
      </c>
      <c r="AV158" s="20">
        <v>0</v>
      </c>
      <c r="AW158" s="20">
        <v>28</v>
      </c>
      <c r="AX158" s="22">
        <v>2</v>
      </c>
      <c r="AY158" s="22">
        <v>1298</v>
      </c>
      <c r="AZ158" s="22" t="s">
        <v>67</v>
      </c>
      <c r="BA158" s="20">
        <v>1889</v>
      </c>
      <c r="BB158" s="106">
        <f t="shared" si="39"/>
        <v>3187</v>
      </c>
      <c r="BC158" s="24"/>
      <c r="BD158" s="50">
        <v>19</v>
      </c>
      <c r="BE158" s="50">
        <v>10</v>
      </c>
      <c r="BF158" s="114">
        <f t="shared" si="40"/>
        <v>29</v>
      </c>
      <c r="BG158" s="73"/>
      <c r="BH158" s="73"/>
      <c r="BI158" s="72">
        <v>245</v>
      </c>
      <c r="BJ158" s="72">
        <v>163</v>
      </c>
      <c r="BK158" s="71" t="s">
        <v>66</v>
      </c>
      <c r="BL158" s="114">
        <f t="shared" ref="BL158:BL179" si="49">BI158+BJ158</f>
        <v>408</v>
      </c>
    </row>
    <row r="159" spans="1:64" x14ac:dyDescent="0.2">
      <c r="A159" s="13" t="str">
        <f t="shared" si="35"/>
        <v>2006Q2</v>
      </c>
      <c r="B159" s="11">
        <f t="shared" si="34"/>
        <v>2006</v>
      </c>
      <c r="C159" s="11" t="s">
        <v>2</v>
      </c>
      <c r="D159" s="44">
        <v>1263</v>
      </c>
      <c r="E159" s="44">
        <v>1972</v>
      </c>
      <c r="F159" s="87">
        <f t="shared" si="36"/>
        <v>3235</v>
      </c>
      <c r="G159" s="41">
        <v>2038026.3333333333</v>
      </c>
      <c r="H159" s="41">
        <v>2223429.6666666665</v>
      </c>
      <c r="I159" s="93">
        <f t="shared" si="42"/>
        <v>185403.33333333326</v>
      </c>
      <c r="J159" s="95">
        <f t="shared" si="44"/>
        <v>0.71025416694802646</v>
      </c>
      <c r="K159" s="95">
        <f t="shared" si="45"/>
        <v>0.65101865189546038</v>
      </c>
      <c r="L159" s="50">
        <v>153</v>
      </c>
      <c r="M159" s="50">
        <v>0</v>
      </c>
      <c r="N159" s="50">
        <v>653</v>
      </c>
      <c r="O159" s="50">
        <v>216</v>
      </c>
      <c r="P159" s="51">
        <v>147</v>
      </c>
      <c r="Q159" s="98">
        <v>15489</v>
      </c>
      <c r="R159" s="42" t="s">
        <v>67</v>
      </c>
      <c r="S159" s="45">
        <v>13086</v>
      </c>
      <c r="T159" s="96">
        <f t="shared" si="27"/>
        <v>84.485764090644977</v>
      </c>
      <c r="U159" s="45">
        <v>2403</v>
      </c>
      <c r="V159" s="96">
        <f t="shared" si="28"/>
        <v>15.514235909355026</v>
      </c>
      <c r="W159" s="45">
        <v>2898</v>
      </c>
      <c r="X159" s="96">
        <f t="shared" si="29"/>
        <v>18.710052295177224</v>
      </c>
      <c r="Y159" s="102">
        <v>12591</v>
      </c>
      <c r="Z159" s="96">
        <f t="shared" si="30"/>
        <v>81.289947704822779</v>
      </c>
      <c r="AA159" s="53">
        <v>11233</v>
      </c>
      <c r="AB159" s="45">
        <v>0</v>
      </c>
      <c r="AC159" s="105">
        <f t="shared" si="37"/>
        <v>26722</v>
      </c>
      <c r="AD159" s="48">
        <v>21</v>
      </c>
      <c r="AE159" s="48">
        <v>2511</v>
      </c>
      <c r="AF159" s="49">
        <f t="shared" si="43"/>
        <v>2532</v>
      </c>
      <c r="AG159" s="38">
        <v>1241</v>
      </c>
      <c r="AH159" s="34">
        <v>1953</v>
      </c>
      <c r="AI159" s="109">
        <f t="shared" si="48"/>
        <v>3194</v>
      </c>
      <c r="AJ159" s="26">
        <v>15265</v>
      </c>
      <c r="AK159" s="26">
        <v>11031</v>
      </c>
      <c r="AL159" s="69">
        <f t="shared" si="32"/>
        <v>26296</v>
      </c>
      <c r="AM159" s="24"/>
      <c r="AN159" s="20">
        <v>99</v>
      </c>
      <c r="AO159" s="20">
        <v>34</v>
      </c>
      <c r="AP159" s="106">
        <f t="shared" si="24"/>
        <v>133</v>
      </c>
      <c r="AQ159" s="20">
        <v>114168</v>
      </c>
      <c r="AR159" s="20">
        <v>125542.66666666667</v>
      </c>
      <c r="AS159" s="118">
        <f t="shared" si="46"/>
        <v>0.47687579002198027</v>
      </c>
      <c r="AT159" s="118">
        <f t="shared" si="47"/>
        <v>0.43492802391694591</v>
      </c>
      <c r="AU159" s="20">
        <v>16</v>
      </c>
      <c r="AV159" s="20">
        <v>0</v>
      </c>
      <c r="AW159" s="20">
        <v>20</v>
      </c>
      <c r="AX159" s="22">
        <v>1</v>
      </c>
      <c r="AY159" s="22">
        <v>1263</v>
      </c>
      <c r="AZ159" s="22" t="s">
        <v>67</v>
      </c>
      <c r="BA159" s="20">
        <v>2237</v>
      </c>
      <c r="BB159" s="106">
        <f t="shared" si="39"/>
        <v>3500</v>
      </c>
      <c r="BC159" s="24"/>
      <c r="BD159" s="50">
        <v>24</v>
      </c>
      <c r="BE159" s="50">
        <v>17</v>
      </c>
      <c r="BF159" s="114">
        <f t="shared" si="40"/>
        <v>41</v>
      </c>
      <c r="BG159" s="73"/>
      <c r="BH159" s="73"/>
      <c r="BI159" s="72">
        <v>285</v>
      </c>
      <c r="BJ159" s="72">
        <v>209</v>
      </c>
      <c r="BK159" s="71" t="s">
        <v>66</v>
      </c>
      <c r="BL159" s="114">
        <f t="shared" si="49"/>
        <v>494</v>
      </c>
    </row>
    <row r="160" spans="1:64" x14ac:dyDescent="0.2">
      <c r="A160" s="13" t="str">
        <f t="shared" si="35"/>
        <v>2006Q3</v>
      </c>
      <c r="B160" s="11">
        <f t="shared" si="34"/>
        <v>2006</v>
      </c>
      <c r="C160" s="11" t="s">
        <v>3</v>
      </c>
      <c r="D160" s="44">
        <v>1286</v>
      </c>
      <c r="E160" s="44">
        <v>1886</v>
      </c>
      <c r="F160" s="87">
        <f t="shared" si="36"/>
        <v>3172</v>
      </c>
      <c r="G160" s="41">
        <v>2072738.6666666667</v>
      </c>
      <c r="H160" s="41">
        <v>2259638.3333333335</v>
      </c>
      <c r="I160" s="93">
        <f t="shared" si="42"/>
        <v>186899.66666666674</v>
      </c>
      <c r="J160" s="95">
        <f t="shared" si="44"/>
        <v>0.69489836809287286</v>
      </c>
      <c r="K160" s="95">
        <f t="shared" si="45"/>
        <v>0.63730284667099502</v>
      </c>
      <c r="L160" s="50">
        <v>93</v>
      </c>
      <c r="M160" s="50">
        <v>0</v>
      </c>
      <c r="N160" s="50">
        <v>675</v>
      </c>
      <c r="O160" s="50">
        <v>244</v>
      </c>
      <c r="P160" s="51">
        <v>157</v>
      </c>
      <c r="Q160" s="98">
        <v>15418</v>
      </c>
      <c r="R160" s="42" t="s">
        <v>67</v>
      </c>
      <c r="S160" s="45">
        <v>13036</v>
      </c>
      <c r="T160" s="96">
        <f t="shared" si="27"/>
        <v>84.550525359968859</v>
      </c>
      <c r="U160" s="45">
        <v>2382</v>
      </c>
      <c r="V160" s="96">
        <f t="shared" si="28"/>
        <v>15.449474640031132</v>
      </c>
      <c r="W160" s="45">
        <v>2990</v>
      </c>
      <c r="X160" s="96">
        <f t="shared" si="29"/>
        <v>19.392917369308602</v>
      </c>
      <c r="Y160" s="102">
        <v>12428</v>
      </c>
      <c r="Z160" s="96">
        <f t="shared" si="30"/>
        <v>80.607082630691394</v>
      </c>
      <c r="AA160" s="53">
        <v>12665</v>
      </c>
      <c r="AB160" s="45">
        <v>0</v>
      </c>
      <c r="AC160" s="105">
        <f t="shared" si="37"/>
        <v>28083</v>
      </c>
      <c r="AD160" s="48">
        <v>20</v>
      </c>
      <c r="AE160" s="48">
        <v>3778</v>
      </c>
      <c r="AF160" s="49">
        <f t="shared" si="43"/>
        <v>3798</v>
      </c>
      <c r="AG160" s="38">
        <v>1353</v>
      </c>
      <c r="AH160" s="34">
        <v>1919</v>
      </c>
      <c r="AI160" s="109">
        <f t="shared" si="48"/>
        <v>3272</v>
      </c>
      <c r="AJ160" s="26">
        <v>15657</v>
      </c>
      <c r="AK160" s="26">
        <v>12137</v>
      </c>
      <c r="AL160" s="69">
        <f t="shared" si="32"/>
        <v>27794</v>
      </c>
      <c r="AM160" s="24"/>
      <c r="AN160" s="20">
        <v>132</v>
      </c>
      <c r="AO160" s="20">
        <v>24</v>
      </c>
      <c r="AP160" s="106">
        <f t="shared" si="24"/>
        <v>156</v>
      </c>
      <c r="AQ160" s="20">
        <v>116012.66666666667</v>
      </c>
      <c r="AR160" s="20">
        <v>127038</v>
      </c>
      <c r="AS160" s="118">
        <f t="shared" si="46"/>
        <v>0.47383972989956685</v>
      </c>
      <c r="AT160" s="118">
        <f t="shared" si="47"/>
        <v>0.43188393924886309</v>
      </c>
      <c r="AU160" s="20">
        <v>3</v>
      </c>
      <c r="AV160" s="20">
        <v>0</v>
      </c>
      <c r="AW160" s="20">
        <v>18</v>
      </c>
      <c r="AX160" s="22">
        <v>1</v>
      </c>
      <c r="AY160" s="22">
        <v>1489</v>
      </c>
      <c r="AZ160" s="22" t="s">
        <v>67</v>
      </c>
      <c r="BA160" s="20">
        <v>2073</v>
      </c>
      <c r="BB160" s="106">
        <f t="shared" si="39"/>
        <v>3562</v>
      </c>
      <c r="BC160" s="24"/>
      <c r="BD160" s="50">
        <v>15</v>
      </c>
      <c r="BE160" s="50">
        <v>13</v>
      </c>
      <c r="BF160" s="114">
        <f t="shared" si="40"/>
        <v>28</v>
      </c>
      <c r="BG160" s="73"/>
      <c r="BH160" s="73"/>
      <c r="BI160" s="72">
        <v>241</v>
      </c>
      <c r="BJ160" s="72">
        <v>184</v>
      </c>
      <c r="BK160" s="71" t="s">
        <v>66</v>
      </c>
      <c r="BL160" s="114">
        <f t="shared" si="49"/>
        <v>425</v>
      </c>
    </row>
    <row r="161" spans="1:64" x14ac:dyDescent="0.2">
      <c r="A161" s="13" t="str">
        <f t="shared" si="35"/>
        <v>2006Q4</v>
      </c>
      <c r="B161" s="11">
        <f t="shared" si="34"/>
        <v>2006</v>
      </c>
      <c r="C161" s="11" t="s">
        <v>4</v>
      </c>
      <c r="D161" s="44">
        <v>1396</v>
      </c>
      <c r="E161" s="44">
        <v>1770</v>
      </c>
      <c r="F161" s="87">
        <f t="shared" si="36"/>
        <v>3166</v>
      </c>
      <c r="G161" s="41">
        <v>2108728.3333333335</v>
      </c>
      <c r="H161" s="41">
        <v>2297567</v>
      </c>
      <c r="I161" s="93">
        <f t="shared" si="42"/>
        <v>188838.66666666651</v>
      </c>
      <c r="J161" s="95">
        <f t="shared" si="44"/>
        <v>0.68471853147343009</v>
      </c>
      <c r="K161" s="95">
        <f t="shared" si="45"/>
        <v>0.62809197338822897</v>
      </c>
      <c r="L161" s="50">
        <v>162</v>
      </c>
      <c r="M161" s="50">
        <v>0</v>
      </c>
      <c r="N161" s="50">
        <v>1479</v>
      </c>
      <c r="O161" s="50">
        <v>242</v>
      </c>
      <c r="P161" s="51">
        <v>106</v>
      </c>
      <c r="Q161" s="98">
        <v>15766</v>
      </c>
      <c r="R161" s="42" t="s">
        <v>67</v>
      </c>
      <c r="S161" s="45">
        <v>13424</v>
      </c>
      <c r="T161" s="96">
        <f t="shared" si="27"/>
        <v>85.145249270582269</v>
      </c>
      <c r="U161" s="45">
        <v>2342</v>
      </c>
      <c r="V161" s="96">
        <f t="shared" si="28"/>
        <v>14.854750729417734</v>
      </c>
      <c r="W161" s="45">
        <v>1856</v>
      </c>
      <c r="X161" s="96">
        <f t="shared" si="29"/>
        <v>11.772167956361791</v>
      </c>
      <c r="Y161" s="102">
        <v>13910</v>
      </c>
      <c r="Z161" s="96">
        <f t="shared" si="30"/>
        <v>88.227832043638216</v>
      </c>
      <c r="AA161" s="53">
        <v>12778</v>
      </c>
      <c r="AB161" s="45">
        <v>0</v>
      </c>
      <c r="AC161" s="105">
        <f t="shared" si="37"/>
        <v>28544</v>
      </c>
      <c r="AD161" s="48">
        <v>16</v>
      </c>
      <c r="AE161" s="48">
        <v>3671</v>
      </c>
      <c r="AF161" s="49">
        <f t="shared" si="43"/>
        <v>3687</v>
      </c>
      <c r="AG161" s="38">
        <v>1384</v>
      </c>
      <c r="AH161" s="34">
        <v>1832</v>
      </c>
      <c r="AI161" s="109">
        <f t="shared" si="48"/>
        <v>3216</v>
      </c>
      <c r="AJ161" s="26">
        <v>16818</v>
      </c>
      <c r="AK161" s="26">
        <v>12576</v>
      </c>
      <c r="AL161" s="69">
        <f t="shared" si="32"/>
        <v>29394</v>
      </c>
      <c r="AM161" s="24"/>
      <c r="AN161" s="20">
        <v>89</v>
      </c>
      <c r="AO161" s="20">
        <v>43</v>
      </c>
      <c r="AP161" s="106">
        <f t="shared" si="24"/>
        <v>132</v>
      </c>
      <c r="AQ161" s="20">
        <v>118121</v>
      </c>
      <c r="AR161" s="20">
        <v>129346.66666666667</v>
      </c>
      <c r="AS161" s="118">
        <f t="shared" si="46"/>
        <v>0.477268874506105</v>
      </c>
      <c r="AT161" s="118">
        <f t="shared" si="47"/>
        <v>0.43510163268783569</v>
      </c>
      <c r="AU161" s="20">
        <v>4</v>
      </c>
      <c r="AV161" s="20">
        <v>0</v>
      </c>
      <c r="AW161" s="20">
        <v>20</v>
      </c>
      <c r="AX161" s="22">
        <v>1</v>
      </c>
      <c r="AY161" s="22">
        <v>1516</v>
      </c>
      <c r="AZ161" s="22" t="s">
        <v>67</v>
      </c>
      <c r="BA161" s="20">
        <v>2024</v>
      </c>
      <c r="BB161" s="106">
        <f t="shared" si="39"/>
        <v>3540</v>
      </c>
      <c r="BC161" s="24"/>
      <c r="BD161" s="50">
        <v>20</v>
      </c>
      <c r="BE161" s="50">
        <v>10</v>
      </c>
      <c r="BF161" s="114">
        <f t="shared" si="40"/>
        <v>30</v>
      </c>
      <c r="BG161" s="73"/>
      <c r="BH161" s="73"/>
      <c r="BI161" s="72">
        <v>264</v>
      </c>
      <c r="BJ161" s="72">
        <v>218</v>
      </c>
      <c r="BK161" s="71" t="s">
        <v>66</v>
      </c>
      <c r="BL161" s="114">
        <f t="shared" si="49"/>
        <v>482</v>
      </c>
    </row>
    <row r="162" spans="1:64" x14ac:dyDescent="0.2">
      <c r="A162" s="13" t="str">
        <f t="shared" si="35"/>
        <v>2007Q1</v>
      </c>
      <c r="B162" s="11">
        <f t="shared" si="34"/>
        <v>2007</v>
      </c>
      <c r="C162" s="11" t="s">
        <v>1</v>
      </c>
      <c r="D162" s="44">
        <v>1384</v>
      </c>
      <c r="E162" s="44">
        <f>560+656+674</f>
        <v>1890</v>
      </c>
      <c r="F162" s="87">
        <f t="shared" si="36"/>
        <v>3274</v>
      </c>
      <c r="G162" s="41">
        <v>2164741.3333333335</v>
      </c>
      <c r="H162" s="41">
        <v>2358365.3333333335</v>
      </c>
      <c r="I162" s="93">
        <f t="shared" si="42"/>
        <v>193624</v>
      </c>
      <c r="J162" s="95">
        <f t="shared" si="44"/>
        <v>0.65957123337514723</v>
      </c>
      <c r="K162" s="95">
        <f t="shared" si="45"/>
        <v>0.60509900408144557</v>
      </c>
      <c r="L162" s="50">
        <f>20+32+36</f>
        <v>88</v>
      </c>
      <c r="M162" s="50">
        <v>1</v>
      </c>
      <c r="N162" s="50">
        <f>249+212+222</f>
        <v>683</v>
      </c>
      <c r="O162" s="50">
        <f>101+85+90</f>
        <v>276</v>
      </c>
      <c r="P162" s="51">
        <f>34+32+30</f>
        <v>96</v>
      </c>
      <c r="Q162" s="98">
        <v>17937</v>
      </c>
      <c r="R162" s="42" t="s">
        <v>67</v>
      </c>
      <c r="S162" s="45">
        <v>15356</v>
      </c>
      <c r="T162" s="96">
        <f t="shared" si="27"/>
        <v>85.610748731671961</v>
      </c>
      <c r="U162" s="45">
        <v>2581</v>
      </c>
      <c r="V162" s="96">
        <f t="shared" si="28"/>
        <v>14.389251268328037</v>
      </c>
      <c r="W162" s="45">
        <v>1981</v>
      </c>
      <c r="X162" s="96">
        <f t="shared" si="29"/>
        <v>11.044210291576071</v>
      </c>
      <c r="Y162" s="102">
        <v>15956</v>
      </c>
      <c r="Z162" s="96">
        <f t="shared" si="30"/>
        <v>88.955789708423922</v>
      </c>
      <c r="AA162" s="52">
        <v>11299</v>
      </c>
      <c r="AB162" s="45">
        <v>0</v>
      </c>
      <c r="AC162" s="105">
        <f t="shared" si="37"/>
        <v>29236</v>
      </c>
      <c r="AD162" s="48">
        <v>23</v>
      </c>
      <c r="AE162" s="48">
        <v>2460</v>
      </c>
      <c r="AF162" s="49">
        <f t="shared" si="43"/>
        <v>2483</v>
      </c>
      <c r="AG162" s="38">
        <v>1353</v>
      </c>
      <c r="AH162" s="34">
        <v>1810</v>
      </c>
      <c r="AI162" s="109">
        <f t="shared" si="48"/>
        <v>3163</v>
      </c>
      <c r="AJ162" s="26">
        <v>16742</v>
      </c>
      <c r="AK162" s="26">
        <v>12454</v>
      </c>
      <c r="AL162" s="69">
        <f t="shared" si="32"/>
        <v>29196</v>
      </c>
      <c r="AM162" s="24"/>
      <c r="AN162" s="20">
        <v>132</v>
      </c>
      <c r="AO162" s="20">
        <v>34</v>
      </c>
      <c r="AP162" s="106">
        <f t="shared" si="24"/>
        <v>166</v>
      </c>
      <c r="AQ162" s="20">
        <v>120257</v>
      </c>
      <c r="AR162" s="20">
        <v>131796.66666666666</v>
      </c>
      <c r="AS162" s="118">
        <f t="shared" si="46"/>
        <v>0.50111120912642737</v>
      </c>
      <c r="AT162" s="118">
        <f t="shared" si="47"/>
        <v>0.45705476092220726</v>
      </c>
      <c r="AU162" s="20">
        <v>9</v>
      </c>
      <c r="AV162" s="20">
        <v>0</v>
      </c>
      <c r="AW162" s="20">
        <v>15</v>
      </c>
      <c r="AX162" s="22">
        <v>2</v>
      </c>
      <c r="AY162" s="22">
        <v>1617</v>
      </c>
      <c r="AZ162" s="22" t="s">
        <v>67</v>
      </c>
      <c r="BA162" s="20">
        <v>1964</v>
      </c>
      <c r="BB162" s="106">
        <f t="shared" si="39"/>
        <v>3581</v>
      </c>
      <c r="BC162" s="24"/>
      <c r="BD162" s="50">
        <v>29</v>
      </c>
      <c r="BE162" s="50">
        <v>7</v>
      </c>
      <c r="BF162" s="114">
        <f t="shared" si="40"/>
        <v>36</v>
      </c>
      <c r="BG162" s="72">
        <v>33587</v>
      </c>
      <c r="BH162" s="72">
        <v>37805</v>
      </c>
      <c r="BI162" s="72">
        <v>218</v>
      </c>
      <c r="BJ162" s="72">
        <v>125</v>
      </c>
      <c r="BK162" s="71" t="s">
        <v>66</v>
      </c>
      <c r="BL162" s="114">
        <f t="shared" si="49"/>
        <v>343</v>
      </c>
    </row>
    <row r="163" spans="1:64" x14ac:dyDescent="0.2">
      <c r="A163" s="13" t="str">
        <f t="shared" si="35"/>
        <v>2007Q2</v>
      </c>
      <c r="B163" s="11">
        <f t="shared" si="34"/>
        <v>2007</v>
      </c>
      <c r="C163" s="11" t="s">
        <v>2</v>
      </c>
      <c r="D163" s="44">
        <v>1399</v>
      </c>
      <c r="E163" s="44">
        <f>572+496+724</f>
        <v>1792</v>
      </c>
      <c r="F163" s="87">
        <f t="shared" si="36"/>
        <v>3191</v>
      </c>
      <c r="G163" s="41">
        <v>2238118.3333333335</v>
      </c>
      <c r="H163" s="41">
        <v>2439634.6666666665</v>
      </c>
      <c r="I163" s="93">
        <f t="shared" si="42"/>
        <v>201516.33333333302</v>
      </c>
      <c r="J163" s="95">
        <f t="shared" si="44"/>
        <v>0.64536220662618449</v>
      </c>
      <c r="K163" s="95">
        <f t="shared" si="45"/>
        <v>0.59218368839650626</v>
      </c>
      <c r="L163" s="50">
        <f>16+19+42</f>
        <v>77</v>
      </c>
      <c r="M163" s="50">
        <v>0</v>
      </c>
      <c r="N163" s="50">
        <f>177+153+255</f>
        <v>585</v>
      </c>
      <c r="O163" s="50">
        <f>98+87+100</f>
        <v>285</v>
      </c>
      <c r="P163" s="51">
        <f>35+26+41</f>
        <v>102</v>
      </c>
      <c r="Q163" s="98">
        <v>16489</v>
      </c>
      <c r="R163" s="42" t="s">
        <v>67</v>
      </c>
      <c r="S163" s="45">
        <v>13923</v>
      </c>
      <c r="T163" s="96">
        <f t="shared" si="27"/>
        <v>84.438110255321732</v>
      </c>
      <c r="U163" s="45">
        <v>2566</v>
      </c>
      <c r="V163" s="96">
        <f t="shared" si="28"/>
        <v>15.56188974467827</v>
      </c>
      <c r="W163" s="45">
        <v>1767</v>
      </c>
      <c r="X163" s="96">
        <f t="shared" si="29"/>
        <v>10.716235065801444</v>
      </c>
      <c r="Y163" s="102">
        <v>14722</v>
      </c>
      <c r="Z163" s="96">
        <f t="shared" si="30"/>
        <v>89.283764934198558</v>
      </c>
      <c r="AA163" s="52">
        <v>10838</v>
      </c>
      <c r="AB163" s="45">
        <v>0</v>
      </c>
      <c r="AC163" s="105">
        <f t="shared" si="37"/>
        <v>27327</v>
      </c>
      <c r="AD163" s="48">
        <v>27</v>
      </c>
      <c r="AE163" s="48">
        <v>2868</v>
      </c>
      <c r="AF163" s="49">
        <f t="shared" si="43"/>
        <v>2895</v>
      </c>
      <c r="AG163" s="38">
        <v>1380</v>
      </c>
      <c r="AH163" s="34">
        <v>1777</v>
      </c>
      <c r="AI163" s="109">
        <f t="shared" si="48"/>
        <v>3157</v>
      </c>
      <c r="AJ163" s="26">
        <v>16493</v>
      </c>
      <c r="AK163" s="26">
        <v>10502</v>
      </c>
      <c r="AL163" s="69">
        <f t="shared" si="32"/>
        <v>26995</v>
      </c>
      <c r="AM163" s="24"/>
      <c r="AN163" s="20">
        <v>131</v>
      </c>
      <c r="AO163" s="20">
        <v>34</v>
      </c>
      <c r="AP163" s="106">
        <f t="shared" si="24"/>
        <v>165</v>
      </c>
      <c r="AQ163" s="20">
        <v>123998.66666666667</v>
      </c>
      <c r="AR163" s="20">
        <v>135870.33333333334</v>
      </c>
      <c r="AS163" s="118">
        <f t="shared" si="46"/>
        <v>0.51757006845191633</v>
      </c>
      <c r="AT163" s="118">
        <f t="shared" si="47"/>
        <v>0.4724724979407246</v>
      </c>
      <c r="AU163" s="20">
        <v>22</v>
      </c>
      <c r="AV163" s="20">
        <v>0</v>
      </c>
      <c r="AW163" s="20">
        <v>11</v>
      </c>
      <c r="AX163" s="22">
        <v>1</v>
      </c>
      <c r="AY163" s="22">
        <v>1606</v>
      </c>
      <c r="AZ163" s="22" t="s">
        <v>67</v>
      </c>
      <c r="BA163" s="20">
        <v>1892</v>
      </c>
      <c r="BB163" s="106">
        <f t="shared" si="39"/>
        <v>3498</v>
      </c>
      <c r="BC163" s="24"/>
      <c r="BD163" s="50">
        <v>29</v>
      </c>
      <c r="BE163" s="50">
        <v>9</v>
      </c>
      <c r="BF163" s="114">
        <f t="shared" si="40"/>
        <v>38</v>
      </c>
      <c r="BG163" s="72">
        <v>33255</v>
      </c>
      <c r="BH163" s="72">
        <v>36569</v>
      </c>
      <c r="BI163" s="72">
        <v>228</v>
      </c>
      <c r="BJ163" s="72">
        <v>110</v>
      </c>
      <c r="BK163" s="71" t="s">
        <v>66</v>
      </c>
      <c r="BL163" s="114">
        <f t="shared" si="49"/>
        <v>338</v>
      </c>
    </row>
    <row r="164" spans="1:64" x14ac:dyDescent="0.2">
      <c r="A164" s="13" t="str">
        <f t="shared" si="35"/>
        <v>2007Q3</v>
      </c>
      <c r="B164" s="11">
        <f t="shared" si="34"/>
        <v>2007</v>
      </c>
      <c r="C164" s="11" t="s">
        <v>3</v>
      </c>
      <c r="D164" s="44">
        <v>1234</v>
      </c>
      <c r="E164" s="44">
        <f>629+593+657</f>
        <v>1879</v>
      </c>
      <c r="F164" s="87">
        <f t="shared" si="36"/>
        <v>3113</v>
      </c>
      <c r="G164" s="41">
        <v>2258140</v>
      </c>
      <c r="H164" s="41">
        <v>2474663.6666666665</v>
      </c>
      <c r="I164" s="93">
        <f t="shared" si="42"/>
        <v>216523.66666666651</v>
      </c>
      <c r="J164" s="95">
        <f t="shared" si="44"/>
        <v>0.62993971990921493</v>
      </c>
      <c r="K164" s="95">
        <f t="shared" si="45"/>
        <v>0.57724836447689942</v>
      </c>
      <c r="L164" s="50">
        <f>22+30+28</f>
        <v>80</v>
      </c>
      <c r="M164" s="50">
        <v>2</v>
      </c>
      <c r="N164" s="50">
        <f>223+227+216</f>
        <v>666</v>
      </c>
      <c r="O164" s="50">
        <f>93+80+91</f>
        <v>264</v>
      </c>
      <c r="P164" s="51">
        <f>50+38+41</f>
        <v>129</v>
      </c>
      <c r="Q164" s="98">
        <v>15600</v>
      </c>
      <c r="R164" s="42" t="s">
        <v>67</v>
      </c>
      <c r="S164" s="45">
        <v>13173</v>
      </c>
      <c r="T164" s="96">
        <f t="shared" si="27"/>
        <v>84.442307692307693</v>
      </c>
      <c r="U164" s="45">
        <v>2427</v>
      </c>
      <c r="V164" s="96">
        <f t="shared" si="28"/>
        <v>15.557692307692308</v>
      </c>
      <c r="W164" s="45">
        <v>1660</v>
      </c>
      <c r="X164" s="96">
        <f t="shared" si="29"/>
        <v>10.641025641025641</v>
      </c>
      <c r="Y164" s="102">
        <v>13940</v>
      </c>
      <c r="Z164" s="96">
        <f t="shared" si="30"/>
        <v>89.358974358974365</v>
      </c>
      <c r="AA164" s="52">
        <v>10652</v>
      </c>
      <c r="AB164" s="45">
        <v>0</v>
      </c>
      <c r="AC164" s="105">
        <f t="shared" si="37"/>
        <v>26252</v>
      </c>
      <c r="AD164" s="48">
        <v>11</v>
      </c>
      <c r="AE164" s="48">
        <v>4233</v>
      </c>
      <c r="AF164" s="49">
        <f t="shared" si="43"/>
        <v>4244</v>
      </c>
      <c r="AG164" s="38">
        <v>1296</v>
      </c>
      <c r="AH164" s="34">
        <v>1908</v>
      </c>
      <c r="AI164" s="109">
        <f t="shared" si="48"/>
        <v>3204</v>
      </c>
      <c r="AJ164" s="26">
        <v>15934</v>
      </c>
      <c r="AK164" s="26">
        <v>10085</v>
      </c>
      <c r="AL164" s="69">
        <f t="shared" si="32"/>
        <v>26019</v>
      </c>
      <c r="AM164" s="24"/>
      <c r="AN164" s="20">
        <v>105</v>
      </c>
      <c r="AO164" s="20">
        <v>20</v>
      </c>
      <c r="AP164" s="106">
        <f t="shared" si="24"/>
        <v>125</v>
      </c>
      <c r="AQ164" s="20">
        <v>126072.66666666667</v>
      </c>
      <c r="AR164" s="20">
        <v>138109.66666666666</v>
      </c>
      <c r="AS164" s="118">
        <f t="shared" si="46"/>
        <v>0.48152384280048149</v>
      </c>
      <c r="AT164" s="118">
        <f t="shared" si="47"/>
        <v>0.43952484473984194</v>
      </c>
      <c r="AU164" s="20">
        <v>8</v>
      </c>
      <c r="AV164" s="20">
        <v>0</v>
      </c>
      <c r="AW164" s="20">
        <v>6</v>
      </c>
      <c r="AX164" s="22">
        <v>2</v>
      </c>
      <c r="AY164" s="22">
        <v>1545</v>
      </c>
      <c r="AZ164" s="22" t="s">
        <v>67</v>
      </c>
      <c r="BA164" s="20">
        <v>1982</v>
      </c>
      <c r="BB164" s="106">
        <f t="shared" si="39"/>
        <v>3527</v>
      </c>
      <c r="BC164" s="24"/>
      <c r="BD164" s="50">
        <v>28</v>
      </c>
      <c r="BE164" s="50">
        <v>14</v>
      </c>
      <c r="BF164" s="114">
        <f t="shared" si="40"/>
        <v>42</v>
      </c>
      <c r="BG164" s="72">
        <v>33750</v>
      </c>
      <c r="BH164" s="72">
        <v>37101</v>
      </c>
      <c r="BI164" s="72">
        <v>227</v>
      </c>
      <c r="BJ164" s="72">
        <v>111</v>
      </c>
      <c r="BK164" s="71" t="s">
        <v>66</v>
      </c>
      <c r="BL164" s="114">
        <f t="shared" si="49"/>
        <v>338</v>
      </c>
    </row>
    <row r="165" spans="1:64" x14ac:dyDescent="0.2">
      <c r="A165" s="13" t="str">
        <f t="shared" si="35"/>
        <v>2007Q4</v>
      </c>
      <c r="B165" s="11">
        <f t="shared" si="34"/>
        <v>2007</v>
      </c>
      <c r="C165" s="11" t="s">
        <v>4</v>
      </c>
      <c r="D165" s="44">
        <v>1148</v>
      </c>
      <c r="E165" s="45">
        <f>684+653+444</f>
        <v>1781</v>
      </c>
      <c r="F165" s="87">
        <f t="shared" si="36"/>
        <v>2929</v>
      </c>
      <c r="G165" s="41">
        <v>2275838.6666666665</v>
      </c>
      <c r="H165" s="41">
        <v>2500227.6666666665</v>
      </c>
      <c r="I165" s="93">
        <f t="shared" si="42"/>
        <v>224389</v>
      </c>
      <c r="J165" s="95">
        <f t="shared" si="44"/>
        <v>0.60880591066602041</v>
      </c>
      <c r="K165" s="95">
        <f t="shared" si="45"/>
        <v>0.55672367720313687</v>
      </c>
      <c r="L165" s="50">
        <f>40+32+20</f>
        <v>92</v>
      </c>
      <c r="M165" s="50">
        <v>0</v>
      </c>
      <c r="N165" s="50">
        <f>230+214+131</f>
        <v>575</v>
      </c>
      <c r="O165" s="50">
        <f>110+84+76</f>
        <v>270</v>
      </c>
      <c r="P165" s="51">
        <f>40+34+17</f>
        <v>91</v>
      </c>
      <c r="Q165" s="98">
        <v>14454</v>
      </c>
      <c r="R165" s="42" t="s">
        <v>67</v>
      </c>
      <c r="S165" s="45">
        <v>11981</v>
      </c>
      <c r="T165" s="96">
        <f t="shared" si="27"/>
        <v>82.890549328905493</v>
      </c>
      <c r="U165" s="45">
        <v>2473</v>
      </c>
      <c r="V165" s="96">
        <f t="shared" si="28"/>
        <v>17.109450671094507</v>
      </c>
      <c r="W165" s="45">
        <v>1650</v>
      </c>
      <c r="X165" s="96">
        <f t="shared" si="29"/>
        <v>11.415525114155251</v>
      </c>
      <c r="Y165" s="102">
        <v>12804</v>
      </c>
      <c r="Z165" s="96">
        <f t="shared" si="30"/>
        <v>88.584474885844742</v>
      </c>
      <c r="AA165" s="52">
        <v>9376</v>
      </c>
      <c r="AB165" s="45">
        <v>0</v>
      </c>
      <c r="AC165" s="105">
        <f t="shared" si="37"/>
        <v>23830</v>
      </c>
      <c r="AD165" s="48">
        <v>16</v>
      </c>
      <c r="AE165" s="48">
        <v>3694</v>
      </c>
      <c r="AF165" s="49">
        <f t="shared" si="43"/>
        <v>3710</v>
      </c>
      <c r="AG165" s="38">
        <v>1135</v>
      </c>
      <c r="AH165" s="34">
        <v>1847</v>
      </c>
      <c r="AI165" s="109">
        <f t="shared" si="48"/>
        <v>2982</v>
      </c>
      <c r="AJ165" s="26">
        <v>15311</v>
      </c>
      <c r="AK165" s="26">
        <v>9123</v>
      </c>
      <c r="AL165" s="69">
        <f t="shared" si="32"/>
        <v>24434</v>
      </c>
      <c r="AM165" s="24"/>
      <c r="AN165" s="20">
        <v>71</v>
      </c>
      <c r="AO165" s="20">
        <v>12</v>
      </c>
      <c r="AP165" s="106">
        <f t="shared" si="24"/>
        <v>83</v>
      </c>
      <c r="AQ165" s="20">
        <v>127487</v>
      </c>
      <c r="AR165" s="20">
        <v>139787.33333333334</v>
      </c>
      <c r="AS165" s="118">
        <f t="shared" si="46"/>
        <v>0.43309232473085735</v>
      </c>
      <c r="AT165" s="118">
        <f t="shared" si="47"/>
        <v>0.3951873657352758</v>
      </c>
      <c r="AU165" s="20">
        <v>36</v>
      </c>
      <c r="AV165" s="20">
        <v>0</v>
      </c>
      <c r="AW165" s="20">
        <v>5</v>
      </c>
      <c r="AX165" s="22">
        <v>1</v>
      </c>
      <c r="AY165" s="22">
        <v>1563</v>
      </c>
      <c r="AZ165" s="22" t="s">
        <v>67</v>
      </c>
      <c r="BA165" s="20">
        <v>1755</v>
      </c>
      <c r="BB165" s="106">
        <f t="shared" si="39"/>
        <v>3318</v>
      </c>
      <c r="BC165" s="24"/>
      <c r="BD165" s="50">
        <v>36</v>
      </c>
      <c r="BE165" s="50">
        <v>12</v>
      </c>
      <c r="BF165" s="114">
        <f t="shared" si="40"/>
        <v>48</v>
      </c>
      <c r="BG165" s="72">
        <v>37569</v>
      </c>
      <c r="BH165" s="72">
        <v>34365</v>
      </c>
      <c r="BI165" s="72">
        <v>225</v>
      </c>
      <c r="BJ165" s="72">
        <v>94</v>
      </c>
      <c r="BK165" s="71" t="s">
        <v>66</v>
      </c>
      <c r="BL165" s="114">
        <f t="shared" si="49"/>
        <v>319</v>
      </c>
    </row>
    <row r="166" spans="1:64" x14ac:dyDescent="0.2">
      <c r="A166" s="13" t="str">
        <f t="shared" si="35"/>
        <v>2008Q1</v>
      </c>
      <c r="B166" s="11">
        <f t="shared" si="34"/>
        <v>2008</v>
      </c>
      <c r="C166" s="11" t="s">
        <v>1</v>
      </c>
      <c r="D166" s="44">
        <f>335+423+322</f>
        <v>1080</v>
      </c>
      <c r="E166" s="44">
        <f>692+730+760</f>
        <v>2182</v>
      </c>
      <c r="F166" s="87">
        <f t="shared" si="36"/>
        <v>3262</v>
      </c>
      <c r="G166" s="41">
        <f>(2270203+2272119+2297880)/3</f>
        <v>2280067.3333333335</v>
      </c>
      <c r="H166" s="41">
        <f>(2510848+2510906+2535708)/3</f>
        <v>2519154</v>
      </c>
      <c r="I166" s="93">
        <f t="shared" si="42"/>
        <v>239086.66666666651</v>
      </c>
      <c r="J166" s="95">
        <f t="shared" si="44"/>
        <v>0.60025423754090779</v>
      </c>
      <c r="K166" s="95">
        <f t="shared" si="45"/>
        <v>0.54698762190849715</v>
      </c>
      <c r="L166" s="50">
        <f>51+61+47</f>
        <v>159</v>
      </c>
      <c r="M166" s="50">
        <f>0+0+1</f>
        <v>1</v>
      </c>
      <c r="N166" s="50">
        <f>303+283+272</f>
        <v>858</v>
      </c>
      <c r="O166" s="50">
        <f>114+80+76</f>
        <v>270</v>
      </c>
      <c r="P166" s="51">
        <f>62+34+44</f>
        <v>140</v>
      </c>
      <c r="Q166" s="98">
        <f>5283+5539+4992</f>
        <v>15814</v>
      </c>
      <c r="R166" s="42" t="s">
        <v>67</v>
      </c>
      <c r="S166" s="45">
        <f>4291+4703+4281</f>
        <v>13275</v>
      </c>
      <c r="T166" s="96">
        <f t="shared" si="27"/>
        <v>83.944606045276345</v>
      </c>
      <c r="U166" s="45">
        <f>992+836+711</f>
        <v>2539</v>
      </c>
      <c r="V166" s="96">
        <f t="shared" si="28"/>
        <v>16.055393954723662</v>
      </c>
      <c r="W166" s="45">
        <v>1915</v>
      </c>
      <c r="X166" s="96">
        <f t="shared" ref="X166:X197" si="50">IF(W166="..","..",W166/$Q166*100)</f>
        <v>12.109523207284685</v>
      </c>
      <c r="Y166" s="96">
        <f t="shared" ref="Y166:Y186" si="51">Q166-W166</f>
        <v>13899</v>
      </c>
      <c r="Z166" s="96">
        <f t="shared" ref="Z166:Z197" si="52">IF(Y166="..","..",Y166/$Q166*100)</f>
        <v>87.890476792715305</v>
      </c>
      <c r="AA166" s="52">
        <f>2959+2843+3003</f>
        <v>8805</v>
      </c>
      <c r="AB166" s="45">
        <v>0</v>
      </c>
      <c r="AC166" s="105">
        <f>IF(AA166=":",Q166+AB166,Q166+AA166+AB166)</f>
        <v>24619</v>
      </c>
      <c r="AD166" s="48">
        <f>3+6+9</f>
        <v>18</v>
      </c>
      <c r="AE166" s="48">
        <f>930+669+552</f>
        <v>2151</v>
      </c>
      <c r="AF166" s="49">
        <f t="shared" si="43"/>
        <v>2169</v>
      </c>
      <c r="AG166" s="38">
        <v>1166</v>
      </c>
      <c r="AH166" s="34">
        <v>2060</v>
      </c>
      <c r="AI166" s="109">
        <f t="shared" si="48"/>
        <v>3226</v>
      </c>
      <c r="AJ166" s="26">
        <v>15482</v>
      </c>
      <c r="AK166" s="26">
        <v>9641</v>
      </c>
      <c r="AL166" s="69">
        <f t="shared" si="32"/>
        <v>25123</v>
      </c>
      <c r="AM166" s="24"/>
      <c r="AN166" s="20">
        <f>36+34+25</f>
        <v>95</v>
      </c>
      <c r="AO166" s="20">
        <f>3+3+1</f>
        <v>7</v>
      </c>
      <c r="AP166" s="106">
        <f t="shared" si="24"/>
        <v>102</v>
      </c>
      <c r="AQ166" s="20">
        <f>(127856+128185+129305)/3</f>
        <v>128448.66666666667</v>
      </c>
      <c r="AR166" s="20">
        <f>(140557+140972+142491)/3</f>
        <v>141340</v>
      </c>
      <c r="AS166" s="118">
        <f t="shared" si="46"/>
        <v>0.37548887663609393</v>
      </c>
      <c r="AT166" s="118">
        <f t="shared" si="47"/>
        <v>0.34227614839652631</v>
      </c>
      <c r="AU166" s="20">
        <f>29+8+19</f>
        <v>56</v>
      </c>
      <c r="AV166" s="20">
        <v>0</v>
      </c>
      <c r="AW166" s="20">
        <f>4+5+3</f>
        <v>12</v>
      </c>
      <c r="AX166" s="22">
        <v>0</v>
      </c>
      <c r="AY166" s="22">
        <v>1444</v>
      </c>
      <c r="AZ166" s="22" t="s">
        <v>67</v>
      </c>
      <c r="BA166" s="20">
        <f>770+463+647</f>
        <v>1880</v>
      </c>
      <c r="BB166" s="106">
        <f t="shared" si="39"/>
        <v>3324</v>
      </c>
      <c r="BC166" s="24"/>
      <c r="BD166" s="50">
        <v>37</v>
      </c>
      <c r="BE166" s="50">
        <v>5</v>
      </c>
      <c r="BF166" s="114">
        <f t="shared" si="40"/>
        <v>42</v>
      </c>
      <c r="BG166" s="72">
        <v>34614</v>
      </c>
      <c r="BH166" s="72">
        <v>37867</v>
      </c>
      <c r="BI166" s="72">
        <v>226</v>
      </c>
      <c r="BJ166" s="72">
        <v>104</v>
      </c>
      <c r="BK166" s="71" t="s">
        <v>66</v>
      </c>
      <c r="BL166" s="114">
        <f t="shared" si="49"/>
        <v>330</v>
      </c>
    </row>
    <row r="167" spans="1:64" x14ac:dyDescent="0.2">
      <c r="A167" s="13" t="str">
        <f t="shared" si="35"/>
        <v>2008Q2</v>
      </c>
      <c r="B167" s="11">
        <f t="shared" si="34"/>
        <v>2008</v>
      </c>
      <c r="C167" s="11" t="s">
        <v>2</v>
      </c>
      <c r="D167" s="44">
        <f>452+465+493</f>
        <v>1410</v>
      </c>
      <c r="E167" s="44">
        <f>716+793+770</f>
        <v>2279</v>
      </c>
      <c r="F167" s="87">
        <f t="shared" si="36"/>
        <v>3689</v>
      </c>
      <c r="G167" s="41">
        <f>(2320518+2329414+2344584)/3</f>
        <v>2331505.3333333335</v>
      </c>
      <c r="H167" s="41">
        <f>(2548374+2561652+2585185)/3</f>
        <v>2565070.3333333335</v>
      </c>
      <c r="I167" s="93">
        <f t="shared" si="42"/>
        <v>233565</v>
      </c>
      <c r="J167" s="95">
        <f t="shared" si="44"/>
        <v>0.6131943056904825</v>
      </c>
      <c r="K167" s="95">
        <f t="shared" si="45"/>
        <v>0.55750427630367905</v>
      </c>
      <c r="L167" s="50">
        <f>43+61+73</f>
        <v>177</v>
      </c>
      <c r="M167" s="50">
        <v>0</v>
      </c>
      <c r="N167" s="50">
        <f>364+287+287</f>
        <v>938</v>
      </c>
      <c r="O167" s="50">
        <f>67+91+65</f>
        <v>223</v>
      </c>
      <c r="P167" s="51">
        <f>43+35+53</f>
        <v>131</v>
      </c>
      <c r="Q167" s="98">
        <f>5945+4911+5517</f>
        <v>16373</v>
      </c>
      <c r="R167" s="42" t="s">
        <v>67</v>
      </c>
      <c r="S167" s="45">
        <v>13754</v>
      </c>
      <c r="T167" s="96">
        <f t="shared" si="27"/>
        <v>84.004153179014224</v>
      </c>
      <c r="U167" s="45">
        <f t="shared" ref="U167:U178" si="53">Q167-S167</f>
        <v>2619</v>
      </c>
      <c r="V167" s="96">
        <f t="shared" si="28"/>
        <v>15.995846820985768</v>
      </c>
      <c r="W167" s="45">
        <v>1828</v>
      </c>
      <c r="X167" s="96">
        <f t="shared" si="50"/>
        <v>11.164722408843829</v>
      </c>
      <c r="Y167" s="96">
        <f t="shared" si="51"/>
        <v>14545</v>
      </c>
      <c r="Z167" s="96">
        <f t="shared" si="52"/>
        <v>88.835277591156171</v>
      </c>
      <c r="AA167" s="52">
        <f>3038+2497+4058</f>
        <v>9593</v>
      </c>
      <c r="AB167" s="45">
        <v>0</v>
      </c>
      <c r="AC167" s="105">
        <f>IF(AA167=":",Q167+AB167,Q167+AA167+AB167)</f>
        <v>25966</v>
      </c>
      <c r="AD167" s="48">
        <f>6+4+2</f>
        <v>12</v>
      </c>
      <c r="AE167" s="48">
        <f>620+827+1197</f>
        <v>2644</v>
      </c>
      <c r="AF167" s="49">
        <f t="shared" si="43"/>
        <v>2656</v>
      </c>
      <c r="AG167" s="38">
        <v>1273</v>
      </c>
      <c r="AH167" s="34">
        <v>2244</v>
      </c>
      <c r="AI167" s="109">
        <f t="shared" si="48"/>
        <v>3517</v>
      </c>
      <c r="AJ167" s="26">
        <v>15536</v>
      </c>
      <c r="AK167" s="26">
        <v>9375</v>
      </c>
      <c r="AL167" s="69">
        <f t="shared" si="32"/>
        <v>24911</v>
      </c>
      <c r="AM167" s="24"/>
      <c r="AN167" s="20">
        <f>52+31+28</f>
        <v>111</v>
      </c>
      <c r="AO167" s="20">
        <f>4+6+11</f>
        <v>21</v>
      </c>
      <c r="AP167" s="106">
        <f t="shared" si="24"/>
        <v>132</v>
      </c>
      <c r="AQ167" s="20">
        <f>(130615+131301+132240)/3</f>
        <v>131385.33333333334</v>
      </c>
      <c r="AR167" s="20">
        <f>(143176+143810+144680)/3</f>
        <v>143888.66666666666</v>
      </c>
      <c r="AS167" s="118">
        <f t="shared" si="46"/>
        <v>0.34437510915924813</v>
      </c>
      <c r="AT167" s="118">
        <f t="shared" si="47"/>
        <v>0.31396189246094863</v>
      </c>
      <c r="AU167" s="20">
        <f>0+14+3</f>
        <v>17</v>
      </c>
      <c r="AV167" s="20">
        <f>0+0+0</f>
        <v>0</v>
      </c>
      <c r="AW167" s="20">
        <f>4+20+11</f>
        <v>35</v>
      </c>
      <c r="AX167" s="22">
        <f>2+0+0</f>
        <v>2</v>
      </c>
      <c r="AY167" s="22">
        <v>2932</v>
      </c>
      <c r="AZ167" s="22">
        <v>1709</v>
      </c>
      <c r="BA167" s="20">
        <v>1882</v>
      </c>
      <c r="BB167" s="106">
        <f t="shared" si="39"/>
        <v>4814</v>
      </c>
      <c r="BC167" s="24"/>
      <c r="BD167" s="50">
        <v>42</v>
      </c>
      <c r="BE167" s="50">
        <v>15</v>
      </c>
      <c r="BF167" s="114">
        <f t="shared" si="40"/>
        <v>57</v>
      </c>
      <c r="BG167" s="72">
        <f>(34820+34936+35026)/3</f>
        <v>34927.333333333336</v>
      </c>
      <c r="BH167" s="72">
        <f>(38183+38322+38315)/3</f>
        <v>38273.333333333336</v>
      </c>
      <c r="BI167" s="72">
        <v>331</v>
      </c>
      <c r="BJ167" s="72">
        <v>148</v>
      </c>
      <c r="BK167" s="71" t="s">
        <v>66</v>
      </c>
      <c r="BL167" s="114">
        <f t="shared" si="49"/>
        <v>479</v>
      </c>
    </row>
    <row r="168" spans="1:64" x14ac:dyDescent="0.2">
      <c r="A168" s="13" t="str">
        <f t="shared" si="35"/>
        <v>2008Q3</v>
      </c>
      <c r="B168" s="11">
        <f t="shared" si="34"/>
        <v>2008</v>
      </c>
      <c r="C168" s="11" t="s">
        <v>3</v>
      </c>
      <c r="D168" s="44">
        <f>622+376+469</f>
        <v>1467</v>
      </c>
      <c r="E168" s="44">
        <f>914+785+893</f>
        <v>2592</v>
      </c>
      <c r="F168" s="87">
        <f t="shared" si="36"/>
        <v>4059</v>
      </c>
      <c r="G168" s="41">
        <f>(2353994+2348908+2289149)/3</f>
        <v>2330683.6666666665</v>
      </c>
      <c r="H168" s="41">
        <f>(2599933+2584962+2576505)/3</f>
        <v>2587133.3333333335</v>
      </c>
      <c r="I168" s="93">
        <f t="shared" si="42"/>
        <v>256449.66666666698</v>
      </c>
      <c r="J168" s="95">
        <f t="shared" si="44"/>
        <v>0.64941834511360541</v>
      </c>
      <c r="K168" s="95">
        <f t="shared" si="45"/>
        <v>0.58854149120510735</v>
      </c>
      <c r="L168" s="50">
        <f>138+57+75</f>
        <v>270</v>
      </c>
      <c r="M168" s="50">
        <f>1+0+0</f>
        <v>1</v>
      </c>
      <c r="N168" s="50">
        <f>365+299+342</f>
        <v>1006</v>
      </c>
      <c r="O168" s="50">
        <f>110+72+82</f>
        <v>264</v>
      </c>
      <c r="P168" s="51">
        <f>44+57+66</f>
        <v>167</v>
      </c>
      <c r="Q168" s="98">
        <f>6236+4999+6002</f>
        <v>17237</v>
      </c>
      <c r="R168" s="42" t="s">
        <v>67</v>
      </c>
      <c r="S168" s="45">
        <v>14369</v>
      </c>
      <c r="T168" s="96">
        <f t="shared" si="27"/>
        <v>83.361373788942387</v>
      </c>
      <c r="U168" s="45">
        <f t="shared" si="53"/>
        <v>2868</v>
      </c>
      <c r="V168" s="96">
        <f t="shared" si="28"/>
        <v>16.638626211057609</v>
      </c>
      <c r="W168" s="45">
        <v>2115</v>
      </c>
      <c r="X168" s="96">
        <f t="shared" si="50"/>
        <v>12.270116609618844</v>
      </c>
      <c r="Y168" s="96">
        <f t="shared" si="51"/>
        <v>15122</v>
      </c>
      <c r="Z168" s="96">
        <f t="shared" si="52"/>
        <v>87.729883390381161</v>
      </c>
      <c r="AA168" s="52">
        <f>3537+3007+3707</f>
        <v>10251</v>
      </c>
      <c r="AB168" s="45">
        <v>0</v>
      </c>
      <c r="AC168" s="105">
        <f>IF(AA168=":",Q168+AB168,Q168+AA168+AB168)</f>
        <v>27488</v>
      </c>
      <c r="AD168" s="48">
        <f>5+6+4</f>
        <v>15</v>
      </c>
      <c r="AE168" s="48">
        <f>1437+988+1483</f>
        <v>3908</v>
      </c>
      <c r="AF168" s="49">
        <f t="shared" si="43"/>
        <v>3923</v>
      </c>
      <c r="AG168" s="38">
        <v>1537</v>
      </c>
      <c r="AH168" s="34">
        <v>2615</v>
      </c>
      <c r="AI168" s="109">
        <f t="shared" si="48"/>
        <v>4152</v>
      </c>
      <c r="AJ168" s="26">
        <v>17474</v>
      </c>
      <c r="AK168" s="26">
        <v>9802</v>
      </c>
      <c r="AL168" s="69">
        <f t="shared" si="32"/>
        <v>27276</v>
      </c>
      <c r="AM168" s="24"/>
      <c r="AN168" s="20">
        <f>41+40+30</f>
        <v>111</v>
      </c>
      <c r="AO168" s="20">
        <f>5+9+2</f>
        <v>16</v>
      </c>
      <c r="AP168" s="106">
        <f t="shared" si="24"/>
        <v>127</v>
      </c>
      <c r="AQ168" s="20">
        <f>(132628+133363+134139)/3</f>
        <v>133376.66666666666</v>
      </c>
      <c r="AR168" s="20">
        <f>(144709+145735+147069)/3</f>
        <v>145837.66666666666</v>
      </c>
      <c r="AS168" s="118">
        <f t="shared" si="46"/>
        <v>0.34108084473843747</v>
      </c>
      <c r="AT168" s="118">
        <f t="shared" si="47"/>
        <v>0.31111300560972721</v>
      </c>
      <c r="AU168" s="20">
        <f>14+11+18</f>
        <v>43</v>
      </c>
      <c r="AV168" s="20">
        <f>0+0+0</f>
        <v>0</v>
      </c>
      <c r="AW168" s="20">
        <f>6+9+6</f>
        <v>21</v>
      </c>
      <c r="AX168" s="22">
        <f>0+0+0</f>
        <v>0</v>
      </c>
      <c r="AY168" s="22">
        <v>4077</v>
      </c>
      <c r="AZ168" s="22">
        <v>2773</v>
      </c>
      <c r="BA168" s="20">
        <v>1943</v>
      </c>
      <c r="BB168" s="106">
        <f t="shared" si="39"/>
        <v>6020</v>
      </c>
      <c r="BC168" s="24"/>
      <c r="BD168" s="50">
        <v>27</v>
      </c>
      <c r="BE168" s="50">
        <v>17</v>
      </c>
      <c r="BF168" s="114">
        <f t="shared" si="40"/>
        <v>44</v>
      </c>
      <c r="BG168" s="72">
        <f>(35088+35197+35197)/3</f>
        <v>35160.666666666664</v>
      </c>
      <c r="BH168" s="72">
        <f>(38405+38297+38566)/3</f>
        <v>38422.666666666664</v>
      </c>
      <c r="BI168" s="72">
        <v>229</v>
      </c>
      <c r="BJ168" s="72">
        <v>157</v>
      </c>
      <c r="BK168" s="71" t="s">
        <v>66</v>
      </c>
      <c r="BL168" s="114">
        <f t="shared" si="49"/>
        <v>386</v>
      </c>
    </row>
    <row r="169" spans="1:64" x14ac:dyDescent="0.2">
      <c r="A169" s="13" t="str">
        <f t="shared" si="35"/>
        <v>2008Q4</v>
      </c>
      <c r="B169" s="11">
        <f t="shared" si="34"/>
        <v>2008</v>
      </c>
      <c r="C169" s="11" t="s">
        <v>4</v>
      </c>
      <c r="D169" s="44">
        <f>526+540+471</f>
        <v>1537</v>
      </c>
      <c r="E169" s="45">
        <f>930+964+1094</f>
        <v>2988</v>
      </c>
      <c r="F169" s="87">
        <f t="shared" si="36"/>
        <v>4525</v>
      </c>
      <c r="G169" s="41">
        <f>(2269629+2270440+2246550)/3</f>
        <v>2262206.3333333335</v>
      </c>
      <c r="H169" s="41">
        <f>(2589671+2600545+2600079)/3</f>
        <v>2596765</v>
      </c>
      <c r="I169" s="93">
        <f t="shared" si="42"/>
        <v>334558.66666666651</v>
      </c>
      <c r="J169" s="95">
        <f t="shared" si="44"/>
        <v>0.71826028736495495</v>
      </c>
      <c r="K169" s="95">
        <f t="shared" si="45"/>
        <v>0.64385674135564142</v>
      </c>
      <c r="L169" s="50">
        <f>(92+84+85)</f>
        <v>261</v>
      </c>
      <c r="M169" s="50">
        <f>0</f>
        <v>0</v>
      </c>
      <c r="N169" s="50">
        <f>1207+409+402</f>
        <v>2018</v>
      </c>
      <c r="O169" s="50">
        <f>80+82+74</f>
        <v>236</v>
      </c>
      <c r="P169" s="51">
        <f>46+53+50</f>
        <v>149</v>
      </c>
      <c r="Q169" s="98">
        <f>6487+6132+5385</f>
        <v>18004</v>
      </c>
      <c r="R169" s="42" t="s">
        <v>67</v>
      </c>
      <c r="S169" s="45">
        <f>5449+5218+4535</f>
        <v>15202</v>
      </c>
      <c r="T169" s="96">
        <f t="shared" si="27"/>
        <v>84.436791824039105</v>
      </c>
      <c r="U169" s="45">
        <f t="shared" si="53"/>
        <v>2802</v>
      </c>
      <c r="V169" s="96">
        <f t="shared" si="28"/>
        <v>15.563208175960897</v>
      </c>
      <c r="W169" s="45">
        <v>2325</v>
      </c>
      <c r="X169" s="96">
        <f t="shared" si="50"/>
        <v>12.913796934014663</v>
      </c>
      <c r="Y169" s="96">
        <f t="shared" si="51"/>
        <v>15679</v>
      </c>
      <c r="Z169" s="96">
        <f t="shared" si="52"/>
        <v>87.08620306598533</v>
      </c>
      <c r="AA169" s="52">
        <f>3624+3139+3704</f>
        <v>10467</v>
      </c>
      <c r="AB169" s="45">
        <v>0</v>
      </c>
      <c r="AC169" s="105">
        <f>IF(AA169=":",Q169+AB169,Q169+AA169+AB169)</f>
        <v>28471</v>
      </c>
      <c r="AD169" s="48">
        <f>9+8+5</f>
        <v>22</v>
      </c>
      <c r="AE169" s="48">
        <f>1679+1580+1236</f>
        <v>4495</v>
      </c>
      <c r="AF169" s="49">
        <f t="shared" si="43"/>
        <v>4517</v>
      </c>
      <c r="AG169" s="38">
        <v>1518</v>
      </c>
      <c r="AH169" s="34">
        <v>3122</v>
      </c>
      <c r="AI169" s="109">
        <f t="shared" si="48"/>
        <v>4640</v>
      </c>
      <c r="AJ169" s="26">
        <v>18936</v>
      </c>
      <c r="AK169" s="26">
        <v>10298</v>
      </c>
      <c r="AL169" s="69">
        <f t="shared" si="32"/>
        <v>29234</v>
      </c>
      <c r="AM169" s="24"/>
      <c r="AN169" s="20">
        <f>41+33+46</f>
        <v>120</v>
      </c>
      <c r="AO169" s="20">
        <f>6+22+15</f>
        <v>43</v>
      </c>
      <c r="AP169" s="106">
        <f t="shared" si="24"/>
        <v>163</v>
      </c>
      <c r="AQ169" s="20">
        <f>(133692+132111+132314)/3</f>
        <v>132705.66666666666</v>
      </c>
      <c r="AR169" s="20">
        <f>(145822+146067+147081)/3</f>
        <v>146323.33333333334</v>
      </c>
      <c r="AS169" s="118">
        <f t="shared" si="46"/>
        <v>0.39854248045791824</v>
      </c>
      <c r="AT169" s="118">
        <f t="shared" si="47"/>
        <v>0.36301307782323783</v>
      </c>
      <c r="AU169" s="20">
        <f>4+0+1</f>
        <v>5</v>
      </c>
      <c r="AV169" s="20">
        <f>0+0+0</f>
        <v>0</v>
      </c>
      <c r="AW169" s="20">
        <f>14+23+18</f>
        <v>55</v>
      </c>
      <c r="AX169" s="22">
        <f>1+0+1</f>
        <v>2</v>
      </c>
      <c r="AY169" s="22">
        <v>3996</v>
      </c>
      <c r="AZ169" s="22">
        <v>2651</v>
      </c>
      <c r="BA169" s="20">
        <v>1837</v>
      </c>
      <c r="BB169" s="106">
        <f t="shared" si="39"/>
        <v>5833</v>
      </c>
      <c r="BC169" s="24"/>
      <c r="BD169" s="50">
        <v>52</v>
      </c>
      <c r="BE169" s="50">
        <v>14</v>
      </c>
      <c r="BF169" s="114">
        <f t="shared" si="40"/>
        <v>66</v>
      </c>
      <c r="BG169" s="72">
        <f>(35218+35238+35238)/3</f>
        <v>35231.333333333336</v>
      </c>
      <c r="BH169" s="72">
        <f>(38766+38640+38876)/3</f>
        <v>38760.666666666664</v>
      </c>
      <c r="BI169" s="72">
        <v>293</v>
      </c>
      <c r="BJ169" s="72">
        <v>150</v>
      </c>
      <c r="BK169" s="71" t="s">
        <v>66</v>
      </c>
      <c r="BL169" s="114">
        <f t="shared" si="49"/>
        <v>443</v>
      </c>
    </row>
    <row r="170" spans="1:64" ht="12" thickBot="1" x14ac:dyDescent="0.25">
      <c r="A170" s="13" t="str">
        <f t="shared" si="35"/>
        <v>2009Q1</v>
      </c>
      <c r="B170" s="11">
        <f t="shared" si="34"/>
        <v>2009</v>
      </c>
      <c r="C170" s="11" t="s">
        <v>1</v>
      </c>
      <c r="D170" s="44">
        <f>464+573+518</f>
        <v>1555</v>
      </c>
      <c r="E170" s="45">
        <f>886+1117+1552</f>
        <v>3555</v>
      </c>
      <c r="F170" s="87">
        <f t="shared" si="36"/>
        <v>5110</v>
      </c>
      <c r="G170" s="41">
        <f>((2211558+2196171+2145252)/3)</f>
        <v>2184327</v>
      </c>
      <c r="H170" s="41">
        <f>(2609359+2614091+2594757)/3</f>
        <v>2606069</v>
      </c>
      <c r="I170" s="93">
        <f t="shared" si="42"/>
        <v>421742</v>
      </c>
      <c r="J170" s="95">
        <f t="shared" si="44"/>
        <v>0.81003676805459035</v>
      </c>
      <c r="K170" s="95">
        <f t="shared" si="45"/>
        <v>0.71254207251716728</v>
      </c>
      <c r="L170" s="50">
        <f>84+102+130</f>
        <v>316</v>
      </c>
      <c r="M170" s="50">
        <f>0</f>
        <v>0</v>
      </c>
      <c r="N170" s="50">
        <f>401+394+516</f>
        <v>1311</v>
      </c>
      <c r="O170" s="50">
        <f>89+116+135</f>
        <v>340</v>
      </c>
      <c r="P170" s="51">
        <f>48+44+64</f>
        <v>156</v>
      </c>
      <c r="Q170" s="98">
        <f>6395+6493+7558</f>
        <v>20446</v>
      </c>
      <c r="R170" s="42" t="s">
        <v>67</v>
      </c>
      <c r="S170" s="45">
        <f>60931-S169-S168-S167</f>
        <v>17606</v>
      </c>
      <c r="T170" s="96">
        <f t="shared" si="27"/>
        <v>86.109752518830078</v>
      </c>
      <c r="U170" s="45">
        <f t="shared" si="53"/>
        <v>2840</v>
      </c>
      <c r="V170" s="96">
        <f t="shared" si="28"/>
        <v>13.890247481169911</v>
      </c>
      <c r="W170" s="45">
        <v>2798</v>
      </c>
      <c r="X170" s="96">
        <f t="shared" si="50"/>
        <v>13.684828328279369</v>
      </c>
      <c r="Y170" s="96">
        <f t="shared" si="51"/>
        <v>17648</v>
      </c>
      <c r="Z170" s="96">
        <f t="shared" si="52"/>
        <v>86.31517167172062</v>
      </c>
      <c r="AA170" s="52">
        <f>2926+2973+3908</f>
        <v>9807</v>
      </c>
      <c r="AB170" s="45">
        <v>0</v>
      </c>
      <c r="AC170" s="105">
        <f>IF(AA170=":",Q170+AB170,Q170+AA170+AB170)</f>
        <v>30253</v>
      </c>
      <c r="AD170" s="48">
        <f>10+1+8</f>
        <v>19</v>
      </c>
      <c r="AE170" s="48">
        <f>867+725+740</f>
        <v>2332</v>
      </c>
      <c r="AF170" s="49">
        <f t="shared" si="43"/>
        <v>2351</v>
      </c>
      <c r="AG170" s="38">
        <v>1522</v>
      </c>
      <c r="AH170" s="34">
        <v>3361</v>
      </c>
      <c r="AI170" s="109">
        <f t="shared" si="48"/>
        <v>4883</v>
      </c>
      <c r="AJ170" s="84">
        <v>18958</v>
      </c>
      <c r="AK170" s="26">
        <v>10722</v>
      </c>
      <c r="AL170" s="69">
        <f t="shared" si="32"/>
        <v>29680</v>
      </c>
      <c r="AM170" s="24"/>
      <c r="AN170" s="20">
        <f>34+55+35</f>
        <v>124</v>
      </c>
      <c r="AO170" s="20">
        <f>13+14+10</f>
        <v>37</v>
      </c>
      <c r="AP170" s="106">
        <f t="shared" si="24"/>
        <v>161</v>
      </c>
      <c r="AQ170" s="20">
        <f>(130826+130169+129965)/3</f>
        <v>130320</v>
      </c>
      <c r="AR170" s="20">
        <f>(147562+147656+148111)/3</f>
        <v>147776.33333333334</v>
      </c>
      <c r="AS170" s="118">
        <f t="shared" si="46"/>
        <v>0.4418443528110737</v>
      </c>
      <c r="AT170" s="118">
        <f t="shared" si="47"/>
        <v>0.39943407796158448</v>
      </c>
      <c r="AU170" s="20">
        <f>6+0+3</f>
        <v>9</v>
      </c>
      <c r="AV170" s="20">
        <v>0</v>
      </c>
      <c r="AW170" s="20">
        <f>10+43+14</f>
        <v>67</v>
      </c>
      <c r="AX170" s="22">
        <f>0+2+0</f>
        <v>2</v>
      </c>
      <c r="AY170" s="22">
        <v>3772</v>
      </c>
      <c r="AZ170" s="22">
        <v>2284</v>
      </c>
      <c r="BA170" s="20">
        <v>1971</v>
      </c>
      <c r="BB170" s="106">
        <f t="shared" si="39"/>
        <v>5743</v>
      </c>
      <c r="BC170" s="24"/>
      <c r="BD170" s="50">
        <f>12+11+11</f>
        <v>34</v>
      </c>
      <c r="BE170" s="50">
        <f>13+3+7</f>
        <v>23</v>
      </c>
      <c r="BF170" s="114">
        <f t="shared" si="40"/>
        <v>57</v>
      </c>
      <c r="BG170" s="72">
        <f>(35210+35191+35336)/3</f>
        <v>35245.666666666664</v>
      </c>
      <c r="BH170" s="72">
        <f>(38713+38942+39092)/3</f>
        <v>38915.666666666664</v>
      </c>
      <c r="BI170" s="72">
        <v>302</v>
      </c>
      <c r="BJ170" s="72">
        <v>144</v>
      </c>
      <c r="BK170" s="71" t="s">
        <v>66</v>
      </c>
      <c r="BL170" s="114">
        <f t="shared" si="49"/>
        <v>446</v>
      </c>
    </row>
    <row r="171" spans="1:64" ht="12" thickTop="1" x14ac:dyDescent="0.2">
      <c r="A171" s="13" t="str">
        <f t="shared" si="35"/>
        <v>2009Q2</v>
      </c>
      <c r="B171" s="11">
        <f t="shared" si="34"/>
        <v>2009</v>
      </c>
      <c r="C171" s="11" t="s">
        <v>2</v>
      </c>
      <c r="D171" s="44">
        <f>512+428+580</f>
        <v>1520</v>
      </c>
      <c r="E171" s="45">
        <f>1198+1100+1241</f>
        <v>3539</v>
      </c>
      <c r="F171" s="87">
        <f t="shared" si="36"/>
        <v>5059</v>
      </c>
      <c r="G171" s="41">
        <f>(2145147+2154163+2161093)/3</f>
        <v>2153467.6666666665</v>
      </c>
      <c r="H171" s="41">
        <f>(2539448+2495188+2492416)/3</f>
        <v>2509017.3333333335</v>
      </c>
      <c r="I171" s="93">
        <f t="shared" si="42"/>
        <v>355549.66666666698</v>
      </c>
      <c r="J171" s="95">
        <f t="shared" si="44"/>
        <v>0.89413077474388492</v>
      </c>
      <c r="K171" s="95">
        <f t="shared" si="45"/>
        <v>0.77533856573693305</v>
      </c>
      <c r="L171" s="50">
        <f>86+111+148</f>
        <v>345</v>
      </c>
      <c r="M171" s="50">
        <v>0</v>
      </c>
      <c r="N171" s="50">
        <f>342+340+345</f>
        <v>1027</v>
      </c>
      <c r="O171" s="50">
        <f>100+116+154</f>
        <v>370</v>
      </c>
      <c r="P171" s="51">
        <f>58+51+48</f>
        <v>157</v>
      </c>
      <c r="Q171" s="98">
        <f>6471+5669+6730</f>
        <v>18870</v>
      </c>
      <c r="R171" s="52">
        <v>1978</v>
      </c>
      <c r="S171" s="45">
        <v>16265</v>
      </c>
      <c r="T171" s="96">
        <f t="shared" si="27"/>
        <v>86.19501854795972</v>
      </c>
      <c r="U171" s="45">
        <f t="shared" si="53"/>
        <v>2605</v>
      </c>
      <c r="V171" s="96">
        <f t="shared" si="28"/>
        <v>13.804981452040277</v>
      </c>
      <c r="W171" s="45">
        <v>2470</v>
      </c>
      <c r="X171" s="96">
        <f t="shared" si="50"/>
        <v>13.089560148383677</v>
      </c>
      <c r="Y171" s="96">
        <f t="shared" si="51"/>
        <v>16400</v>
      </c>
      <c r="Z171" s="96">
        <f t="shared" si="52"/>
        <v>86.910439851616317</v>
      </c>
      <c r="AA171" s="52">
        <f>3439+3867+4919</f>
        <v>12225</v>
      </c>
      <c r="AB171" s="45">
        <v>0</v>
      </c>
      <c r="AC171" s="105">
        <f t="shared" ref="AC171:AC202" si="54">IF(AA171=":",Q171+AB171,Q171++R171+AA171+AB171)</f>
        <v>33073</v>
      </c>
      <c r="AD171" s="48">
        <v>13</v>
      </c>
      <c r="AE171" s="48">
        <v>3108</v>
      </c>
      <c r="AF171" s="49">
        <f t="shared" si="43"/>
        <v>3121</v>
      </c>
      <c r="AG171" s="38">
        <v>1517</v>
      </c>
      <c r="AH171" s="34">
        <v>3516</v>
      </c>
      <c r="AI171" s="109">
        <f t="shared" si="48"/>
        <v>5033</v>
      </c>
      <c r="AJ171" s="26">
        <v>19121</v>
      </c>
      <c r="AK171" s="26">
        <v>12033</v>
      </c>
      <c r="AL171" s="69" t="s">
        <v>67</v>
      </c>
      <c r="AM171" s="24"/>
      <c r="AN171" s="20">
        <f>28+43+36</f>
        <v>107</v>
      </c>
      <c r="AO171" s="20">
        <f>15+8+16</f>
        <v>39</v>
      </c>
      <c r="AP171" s="106">
        <f t="shared" si="24"/>
        <v>146</v>
      </c>
      <c r="AQ171" s="20">
        <f>(130230+130868+131705)/3</f>
        <v>130934.33333333333</v>
      </c>
      <c r="AR171" s="20">
        <f>(146439+146460+146330)/3</f>
        <v>146409.66666666666</v>
      </c>
      <c r="AS171" s="118">
        <f t="shared" si="46"/>
        <v>0.45284163816916456</v>
      </c>
      <c r="AT171" s="118">
        <f t="shared" si="47"/>
        <v>0.40726736898116639</v>
      </c>
      <c r="AU171" s="20">
        <f>1+2+5</f>
        <v>8</v>
      </c>
      <c r="AV171" s="20">
        <f>0</f>
        <v>0</v>
      </c>
      <c r="AW171" s="20">
        <f>9+15+6</f>
        <v>30</v>
      </c>
      <c r="AX171" s="22">
        <f>0+0+2</f>
        <v>2</v>
      </c>
      <c r="AY171" s="22">
        <v>3764</v>
      </c>
      <c r="AZ171" s="22">
        <v>2394</v>
      </c>
      <c r="BA171" s="20">
        <v>2564</v>
      </c>
      <c r="BB171" s="106">
        <f t="shared" si="39"/>
        <v>6328</v>
      </c>
      <c r="BC171" s="24"/>
      <c r="BD171" s="50">
        <v>46</v>
      </c>
      <c r="BE171" s="50">
        <f>8+8+3</f>
        <v>19</v>
      </c>
      <c r="BF171" s="114">
        <f t="shared" si="40"/>
        <v>65</v>
      </c>
      <c r="BG171" s="72">
        <f>(35723+35723+35723)/3</f>
        <v>35723</v>
      </c>
      <c r="BH171" s="72">
        <f>(38935+39179+39429)/3</f>
        <v>39181</v>
      </c>
      <c r="BI171" s="72">
        <v>355</v>
      </c>
      <c r="BJ171" s="72">
        <v>205</v>
      </c>
      <c r="BK171" s="71" t="s">
        <v>66</v>
      </c>
      <c r="BL171" s="114">
        <f t="shared" si="49"/>
        <v>560</v>
      </c>
    </row>
    <row r="172" spans="1:64" x14ac:dyDescent="0.2">
      <c r="A172" s="13" t="str">
        <f t="shared" si="35"/>
        <v>2009Q3</v>
      </c>
      <c r="B172" s="11">
        <f t="shared" si="34"/>
        <v>2009</v>
      </c>
      <c r="C172" s="11" t="s">
        <v>3</v>
      </c>
      <c r="D172" s="44">
        <f>605+250+398</f>
        <v>1253</v>
      </c>
      <c r="E172" s="45">
        <f>1168+1020+1095</f>
        <v>3283</v>
      </c>
      <c r="F172" s="87">
        <f t="shared" si="36"/>
        <v>4536</v>
      </c>
      <c r="G172" s="41">
        <f>(2168151+2173585+2177684)/3</f>
        <v>2173140</v>
      </c>
      <c r="H172" s="41">
        <f>(2477415+2458470+2426671)/3</f>
        <v>2454185.3333333335</v>
      </c>
      <c r="I172" s="93">
        <f t="shared" si="42"/>
        <v>281045.33333333349</v>
      </c>
      <c r="J172" s="95">
        <f t="shared" si="44"/>
        <v>0.93608435108930765</v>
      </c>
      <c r="K172" s="95">
        <f t="shared" si="45"/>
        <v>0.80782710797488755</v>
      </c>
      <c r="L172" s="50">
        <f>123+159+128</f>
        <v>410</v>
      </c>
      <c r="M172" s="50">
        <v>0</v>
      </c>
      <c r="N172" s="50">
        <f>382+340+252</f>
        <v>974</v>
      </c>
      <c r="O172" s="50">
        <f>120+111+124</f>
        <v>355</v>
      </c>
      <c r="P172" s="51">
        <f>57+64+73</f>
        <v>194</v>
      </c>
      <c r="Q172" s="98">
        <f>6577+5590+6180</f>
        <v>18347</v>
      </c>
      <c r="R172" s="52">
        <v>4505</v>
      </c>
      <c r="S172" s="45">
        <f>31881-S171</f>
        <v>15616</v>
      </c>
      <c r="T172" s="96">
        <f t="shared" si="27"/>
        <v>85.114732653839866</v>
      </c>
      <c r="U172" s="45">
        <f t="shared" si="53"/>
        <v>2731</v>
      </c>
      <c r="V172" s="96">
        <f t="shared" si="28"/>
        <v>14.885267346160136</v>
      </c>
      <c r="W172" s="45">
        <v>2280</v>
      </c>
      <c r="X172" s="96">
        <f t="shared" si="50"/>
        <v>12.427099798332153</v>
      </c>
      <c r="Y172" s="96">
        <f t="shared" si="51"/>
        <v>16067</v>
      </c>
      <c r="Z172" s="96">
        <f t="shared" si="52"/>
        <v>87.572900201667849</v>
      </c>
      <c r="AA172" s="52">
        <f>3650+4263+4477</f>
        <v>12390</v>
      </c>
      <c r="AB172" s="45">
        <v>0</v>
      </c>
      <c r="AC172" s="105">
        <f t="shared" si="54"/>
        <v>35242</v>
      </c>
      <c r="AD172" s="48">
        <v>21</v>
      </c>
      <c r="AE172" s="48">
        <v>4968</v>
      </c>
      <c r="AF172" s="49">
        <f t="shared" si="43"/>
        <v>4989</v>
      </c>
      <c r="AG172" s="38">
        <v>1305</v>
      </c>
      <c r="AH172" s="34">
        <v>3336</v>
      </c>
      <c r="AI172" s="109">
        <f t="shared" si="48"/>
        <v>4641</v>
      </c>
      <c r="AJ172" s="26">
        <v>18659</v>
      </c>
      <c r="AK172" s="26">
        <v>11868</v>
      </c>
      <c r="AL172" s="69" t="s">
        <v>67</v>
      </c>
      <c r="AM172" s="24"/>
      <c r="AN172" s="20">
        <f>28+39+28</f>
        <v>95</v>
      </c>
      <c r="AO172" s="20">
        <f>10+10+8</f>
        <v>28</v>
      </c>
      <c r="AP172" s="106">
        <f t="shared" si="24"/>
        <v>123</v>
      </c>
      <c r="AQ172" s="20">
        <f>(132411+133002+130329)/3</f>
        <v>131914</v>
      </c>
      <c r="AR172" s="20">
        <f>(146923+145518+145655)/3</f>
        <v>146032</v>
      </c>
      <c r="AS172" s="118">
        <f t="shared" si="46"/>
        <v>0.45105861860445656</v>
      </c>
      <c r="AT172" s="118">
        <f t="shared" si="47"/>
        <v>0.40440457734152291</v>
      </c>
      <c r="AU172" s="20">
        <f>2+12+3</f>
        <v>17</v>
      </c>
      <c r="AV172" s="20">
        <v>0</v>
      </c>
      <c r="AW172" s="20">
        <f>4+4+6</f>
        <v>14</v>
      </c>
      <c r="AX172" s="22">
        <v>0</v>
      </c>
      <c r="AY172" s="22">
        <v>3514</v>
      </c>
      <c r="AZ172" s="22">
        <v>2107</v>
      </c>
      <c r="BA172" s="20">
        <v>2263</v>
      </c>
      <c r="BB172" s="106">
        <f t="shared" si="39"/>
        <v>5777</v>
      </c>
      <c r="BC172" s="24"/>
      <c r="BD172" s="50">
        <v>27</v>
      </c>
      <c r="BE172" s="50">
        <f>6+9+9</f>
        <v>24</v>
      </c>
      <c r="BF172" s="114">
        <f t="shared" si="40"/>
        <v>51</v>
      </c>
      <c r="BG172" s="72">
        <f>(35868+35868+36053)/3</f>
        <v>35929.666666666664</v>
      </c>
      <c r="BH172" s="72">
        <f>(39309+39570+39760)/3</f>
        <v>39546.333333333336</v>
      </c>
      <c r="BI172" s="72">
        <v>198</v>
      </c>
      <c r="BJ172" s="72">
        <v>181</v>
      </c>
      <c r="BK172" s="71" t="s">
        <v>66</v>
      </c>
      <c r="BL172" s="114">
        <f t="shared" si="49"/>
        <v>379</v>
      </c>
    </row>
    <row r="173" spans="1:64" customFormat="1" ht="12.75" x14ac:dyDescent="0.2">
      <c r="A173" s="13" t="str">
        <f t="shared" si="35"/>
        <v>2009Q4</v>
      </c>
      <c r="B173" s="11">
        <v>2009</v>
      </c>
      <c r="C173" s="11" t="s">
        <v>4</v>
      </c>
      <c r="D173" s="44">
        <v>1315</v>
      </c>
      <c r="E173" s="45">
        <f>963+1066+1028</f>
        <v>3057</v>
      </c>
      <c r="F173" s="87">
        <f t="shared" si="36"/>
        <v>4372</v>
      </c>
      <c r="G173" s="41">
        <v>2180117.6666666665</v>
      </c>
      <c r="H173" s="41">
        <v>2422912.6666666665</v>
      </c>
      <c r="I173" s="93">
        <f t="shared" si="42"/>
        <v>242795</v>
      </c>
      <c r="J173" s="95">
        <f t="shared" si="44"/>
        <v>0.94561621364071879</v>
      </c>
      <c r="K173" s="95">
        <f t="shared" si="45"/>
        <v>0.822482825160051</v>
      </c>
      <c r="L173" s="50">
        <v>397</v>
      </c>
      <c r="M173" s="50">
        <v>0</v>
      </c>
      <c r="N173" s="50">
        <f>278+293+278</f>
        <v>849</v>
      </c>
      <c r="O173" s="50">
        <v>404</v>
      </c>
      <c r="P173" s="51">
        <f>59+65+95</f>
        <v>219</v>
      </c>
      <c r="Q173" s="98">
        <v>17007</v>
      </c>
      <c r="R173" s="52">
        <v>5348</v>
      </c>
      <c r="S173" s="45">
        <v>14317</v>
      </c>
      <c r="T173" s="96">
        <v>84.182983477391659</v>
      </c>
      <c r="U173" s="45">
        <f t="shared" si="53"/>
        <v>2690</v>
      </c>
      <c r="V173" s="96">
        <v>15.817016522608338</v>
      </c>
      <c r="W173" s="45">
        <v>2205</v>
      </c>
      <c r="X173" s="96">
        <f t="shared" si="50"/>
        <v>12.965249603104603</v>
      </c>
      <c r="Y173" s="96">
        <f t="shared" si="51"/>
        <v>14802</v>
      </c>
      <c r="Z173" s="96">
        <f t="shared" si="52"/>
        <v>87.034750396895404</v>
      </c>
      <c r="AA173" s="52">
        <v>13219</v>
      </c>
      <c r="AB173" s="45">
        <v>0</v>
      </c>
      <c r="AC173" s="105">
        <f t="shared" si="54"/>
        <v>35574</v>
      </c>
      <c r="AD173" s="48">
        <v>11</v>
      </c>
      <c r="AE173" s="48">
        <v>4929</v>
      </c>
      <c r="AF173" s="49">
        <f t="shared" si="43"/>
        <v>4940</v>
      </c>
      <c r="AG173" s="38">
        <v>1299</v>
      </c>
      <c r="AH173" s="34">
        <v>3221</v>
      </c>
      <c r="AI173" s="109">
        <f t="shared" si="48"/>
        <v>4520</v>
      </c>
      <c r="AJ173" s="26">
        <v>17933</v>
      </c>
      <c r="AK173" s="26">
        <v>13018</v>
      </c>
      <c r="AL173" s="69" t="s">
        <v>67</v>
      </c>
      <c r="AM173" s="24"/>
      <c r="AN173" s="20">
        <v>106</v>
      </c>
      <c r="AO173" s="20">
        <v>48</v>
      </c>
      <c r="AP173" s="106">
        <f t="shared" si="24"/>
        <v>154</v>
      </c>
      <c r="AQ173" s="20">
        <v>128907.33333333333</v>
      </c>
      <c r="AR173" s="20">
        <v>146200</v>
      </c>
      <c r="AS173" s="118">
        <v>0.44744471906051936</v>
      </c>
      <c r="AT173" s="118">
        <v>0.39835066454303925</v>
      </c>
      <c r="AU173" s="20">
        <v>6</v>
      </c>
      <c r="AV173" s="20">
        <v>0</v>
      </c>
      <c r="AW173" s="20">
        <v>23</v>
      </c>
      <c r="AX173" s="22">
        <v>2</v>
      </c>
      <c r="AY173" s="22">
        <v>3365</v>
      </c>
      <c r="AZ173" s="22">
        <v>1990</v>
      </c>
      <c r="BA173" s="20">
        <v>2328</v>
      </c>
      <c r="BB173" s="106">
        <f t="shared" si="39"/>
        <v>5693</v>
      </c>
      <c r="BC173" s="24"/>
      <c r="BD173" s="50">
        <v>57</v>
      </c>
      <c r="BE173" s="50">
        <v>17</v>
      </c>
      <c r="BF173" s="114">
        <f t="shared" si="40"/>
        <v>74</v>
      </c>
      <c r="BG173" s="72">
        <v>33209.666666666664</v>
      </c>
      <c r="BH173" s="72">
        <v>39166.666666666664</v>
      </c>
      <c r="BI173" s="72">
        <v>381</v>
      </c>
      <c r="BJ173" s="72">
        <v>192</v>
      </c>
      <c r="BK173" s="71" t="s">
        <v>66</v>
      </c>
      <c r="BL173" s="114">
        <f t="shared" si="49"/>
        <v>573</v>
      </c>
    </row>
    <row r="174" spans="1:64" x14ac:dyDescent="0.2">
      <c r="A174" s="13" t="str">
        <f t="shared" si="35"/>
        <v>2010Q1</v>
      </c>
      <c r="B174" s="11">
        <f t="shared" ref="B174:B205" si="55">B170+1</f>
        <v>2010</v>
      </c>
      <c r="C174" s="11" t="s">
        <v>1</v>
      </c>
      <c r="D174" s="44">
        <f>425+372+533</f>
        <v>1330</v>
      </c>
      <c r="E174" s="45">
        <f>748+979+1139</f>
        <v>2866</v>
      </c>
      <c r="F174" s="87">
        <f t="shared" si="36"/>
        <v>4196</v>
      </c>
      <c r="G174" s="41">
        <f>(2183419+2185728+2194737)/3</f>
        <v>2187961.3333333335</v>
      </c>
      <c r="H174" s="41">
        <f>(2422247+2432247+2442393)/3</f>
        <v>2432295.6666666665</v>
      </c>
      <c r="I174" s="93">
        <f t="shared" si="42"/>
        <v>244334.33333333302</v>
      </c>
      <c r="J174" s="95">
        <f t="shared" si="44"/>
        <v>0.90910694117403501</v>
      </c>
      <c r="K174" s="95">
        <f t="shared" si="45"/>
        <v>0.80505898561386358</v>
      </c>
      <c r="L174" s="50">
        <f>104+129+123</f>
        <v>356</v>
      </c>
      <c r="M174" s="50">
        <f>4+0+0</f>
        <v>4</v>
      </c>
      <c r="N174" s="50">
        <f>250+286+243</f>
        <v>779</v>
      </c>
      <c r="O174" s="50">
        <f>142+174+153</f>
        <v>469</v>
      </c>
      <c r="P174" s="51">
        <f>68+60+76</f>
        <v>204</v>
      </c>
      <c r="Q174" s="98">
        <f>5114+5620+7522</f>
        <v>18256</v>
      </c>
      <c r="R174" s="52">
        <f>1498+1829+2317</f>
        <v>5644</v>
      </c>
      <c r="S174" s="45">
        <v>15783</v>
      </c>
      <c r="T174" s="96">
        <f t="shared" ref="T174:T205" si="56">S174/$Q174*100</f>
        <v>86.453768624014032</v>
      </c>
      <c r="U174" s="45">
        <f t="shared" si="53"/>
        <v>2473</v>
      </c>
      <c r="V174" s="96">
        <f t="shared" ref="V174:V205" si="57">U174/$Q174*100</f>
        <v>13.546231375985975</v>
      </c>
      <c r="W174" s="45">
        <v>2321</v>
      </c>
      <c r="X174" s="96">
        <f t="shared" si="50"/>
        <v>12.713628396143733</v>
      </c>
      <c r="Y174" s="96">
        <f t="shared" si="51"/>
        <v>15935</v>
      </c>
      <c r="Z174" s="96">
        <f t="shared" si="52"/>
        <v>87.286371603856267</v>
      </c>
      <c r="AA174" s="52">
        <f>3601+3415+4766</f>
        <v>11782</v>
      </c>
      <c r="AB174" s="45">
        <v>0</v>
      </c>
      <c r="AC174" s="105">
        <f t="shared" si="54"/>
        <v>35682</v>
      </c>
      <c r="AD174" s="48">
        <v>14</v>
      </c>
      <c r="AE174" s="48">
        <v>2736</v>
      </c>
      <c r="AF174" s="49">
        <f t="shared" si="43"/>
        <v>2750</v>
      </c>
      <c r="AG174" s="38">
        <v>1301</v>
      </c>
      <c r="AH174" s="34">
        <v>2713</v>
      </c>
      <c r="AI174" s="109">
        <f t="shared" si="48"/>
        <v>4014</v>
      </c>
      <c r="AJ174" s="26">
        <v>17058</v>
      </c>
      <c r="AK174" s="26">
        <v>12754</v>
      </c>
      <c r="AL174" s="69" t="s">
        <v>67</v>
      </c>
      <c r="AM174" s="24"/>
      <c r="AN174" s="20">
        <f>55+74+73</f>
        <v>202</v>
      </c>
      <c r="AO174" s="20">
        <f>18+27+28</f>
        <v>73</v>
      </c>
      <c r="AP174" s="106">
        <f t="shared" si="24"/>
        <v>275</v>
      </c>
      <c r="AQ174" s="20">
        <f>(128070+128444+129940)/3</f>
        <v>128818</v>
      </c>
      <c r="AR174" s="20">
        <f>(147243+147309+147905)/3</f>
        <v>147485.66666666666</v>
      </c>
      <c r="AS174" s="118">
        <f t="shared" ref="AS174:AS205" si="58">4*(SUM($AP171:$AP174)/SUM(AQ171:AQ174))*100</f>
        <v>0.53633139337948332</v>
      </c>
      <c r="AT174" s="118">
        <f t="shared" ref="AT174:AT205" si="59">4*(SUM($AP171:$AP174)/SUM(AR171:AR174))*100</f>
        <v>0.4763470053719841</v>
      </c>
      <c r="AU174" s="20">
        <f>3+1+2</f>
        <v>6</v>
      </c>
      <c r="AV174" s="20">
        <v>0</v>
      </c>
      <c r="AW174" s="20">
        <f>35+23+34</f>
        <v>92</v>
      </c>
      <c r="AX174" s="22">
        <v>2</v>
      </c>
      <c r="AY174" s="22">
        <v>3167</v>
      </c>
      <c r="AZ174" s="22">
        <v>1905</v>
      </c>
      <c r="BA174" s="20">
        <v>2033</v>
      </c>
      <c r="BB174" s="106">
        <f t="shared" si="39"/>
        <v>5200</v>
      </c>
      <c r="BC174" s="24"/>
      <c r="BD174" s="50">
        <v>49</v>
      </c>
      <c r="BE174" s="50">
        <f>13+16+24</f>
        <v>53</v>
      </c>
      <c r="BF174" s="114">
        <f t="shared" si="40"/>
        <v>102</v>
      </c>
      <c r="BG174" s="72">
        <f>(35889+36030+34706)/3</f>
        <v>35541.666666666664</v>
      </c>
      <c r="BH174" s="72">
        <f>(39528+39858+40085)/3</f>
        <v>39823.666666666664</v>
      </c>
      <c r="BI174" s="72">
        <v>316</v>
      </c>
      <c r="BJ174" s="72">
        <v>238</v>
      </c>
      <c r="BK174" s="71" t="s">
        <v>66</v>
      </c>
      <c r="BL174" s="114">
        <f t="shared" si="49"/>
        <v>554</v>
      </c>
    </row>
    <row r="175" spans="1:64" x14ac:dyDescent="0.2">
      <c r="A175" s="13" t="str">
        <f t="shared" si="35"/>
        <v>2010Q2</v>
      </c>
      <c r="B175" s="11">
        <f t="shared" si="55"/>
        <v>2010</v>
      </c>
      <c r="C175" s="11" t="s">
        <v>2</v>
      </c>
      <c r="D175" s="44">
        <f>408+395+382</f>
        <v>1185</v>
      </c>
      <c r="E175" s="45">
        <f>1094+872+943</f>
        <v>2909</v>
      </c>
      <c r="F175" s="87">
        <f t="shared" si="36"/>
        <v>4094</v>
      </c>
      <c r="G175" s="41">
        <f>(2207283+2208314+2212518)/3</f>
        <v>2209371.6666666665</v>
      </c>
      <c r="H175" s="41">
        <f>(2448249+2446658+2445128)/3</f>
        <v>2446678.3333333335</v>
      </c>
      <c r="I175" s="93">
        <f t="shared" si="42"/>
        <v>237306.66666666698</v>
      </c>
      <c r="J175" s="95">
        <f t="shared" si="44"/>
        <v>0.86051333982330791</v>
      </c>
      <c r="K175" s="95">
        <f t="shared" si="45"/>
        <v>0.77182702218679822</v>
      </c>
      <c r="L175" s="50">
        <f>113+85+104</f>
        <v>302</v>
      </c>
      <c r="M175" s="50">
        <v>0</v>
      </c>
      <c r="N175" s="50">
        <f>284+250+243</f>
        <v>777</v>
      </c>
      <c r="O175" s="50">
        <f>165+111+123</f>
        <v>399</v>
      </c>
      <c r="P175" s="51">
        <f>84+64+84</f>
        <v>232</v>
      </c>
      <c r="Q175" s="98">
        <f>5485+4585+4912</f>
        <v>14982</v>
      </c>
      <c r="R175" s="52">
        <f>1959+1984+2352</f>
        <v>6295</v>
      </c>
      <c r="S175" s="45">
        <v>12844</v>
      </c>
      <c r="T175" s="96">
        <f t="shared" si="56"/>
        <v>85.729542117207316</v>
      </c>
      <c r="U175" s="45">
        <f t="shared" si="53"/>
        <v>2138</v>
      </c>
      <c r="V175" s="96">
        <f t="shared" si="57"/>
        <v>14.270457882792684</v>
      </c>
      <c r="W175" s="45">
        <v>1911</v>
      </c>
      <c r="X175" s="96">
        <f t="shared" si="50"/>
        <v>12.75530636764117</v>
      </c>
      <c r="Y175" s="96">
        <f t="shared" si="51"/>
        <v>13071</v>
      </c>
      <c r="Z175" s="96">
        <f t="shared" si="52"/>
        <v>87.244693632358832</v>
      </c>
      <c r="AA175" s="52">
        <f>4453+3986+5027</f>
        <v>13466</v>
      </c>
      <c r="AB175" s="45">
        <v>0</v>
      </c>
      <c r="AC175" s="105">
        <f t="shared" si="54"/>
        <v>34743</v>
      </c>
      <c r="AD175" s="48">
        <v>14</v>
      </c>
      <c r="AE175" s="48">
        <v>3032</v>
      </c>
      <c r="AF175" s="49">
        <f t="shared" si="43"/>
        <v>3046</v>
      </c>
      <c r="AG175" s="38">
        <v>1184</v>
      </c>
      <c r="AH175" s="34">
        <v>2879</v>
      </c>
      <c r="AI175" s="109">
        <f t="shared" si="48"/>
        <v>4063</v>
      </c>
      <c r="AJ175" s="26">
        <v>15256</v>
      </c>
      <c r="AK175" s="26">
        <v>13262</v>
      </c>
      <c r="AL175" s="69" t="s">
        <v>67</v>
      </c>
      <c r="AM175" s="24"/>
      <c r="AN175" s="20">
        <f>63+68+84</f>
        <v>215</v>
      </c>
      <c r="AO175" s="20">
        <f>7+28+1+23+23</f>
        <v>82</v>
      </c>
      <c r="AP175" s="106">
        <f t="shared" si="24"/>
        <v>297</v>
      </c>
      <c r="AQ175" s="20">
        <f>(129553+129474+130221)/3</f>
        <v>129749.33333333333</v>
      </c>
      <c r="AR175" s="20">
        <f>(146939+146900+147458)/3</f>
        <v>147099</v>
      </c>
      <c r="AS175" s="118">
        <f t="shared" si="58"/>
        <v>0.65384561080141657</v>
      </c>
      <c r="AT175" s="118">
        <f t="shared" si="59"/>
        <v>0.57871566928910223</v>
      </c>
      <c r="AU175" s="20">
        <f>5+7+10</f>
        <v>22</v>
      </c>
      <c r="AV175" s="20">
        <v>1</v>
      </c>
      <c r="AW175" s="20">
        <f>22+14+15</f>
        <v>51</v>
      </c>
      <c r="AX175" s="22">
        <v>1</v>
      </c>
      <c r="AY175" s="22">
        <v>3139</v>
      </c>
      <c r="AZ175" s="22">
        <v>1897</v>
      </c>
      <c r="BA175" s="20">
        <v>2239</v>
      </c>
      <c r="BB175" s="106">
        <f t="shared" si="39"/>
        <v>5378</v>
      </c>
      <c r="BC175" s="24"/>
      <c r="BD175" s="50">
        <v>92</v>
      </c>
      <c r="BE175" s="50">
        <f>2+6+1+7+8</f>
        <v>24</v>
      </c>
      <c r="BF175" s="114">
        <f t="shared" si="40"/>
        <v>116</v>
      </c>
      <c r="BG175" s="72">
        <f>(31706+32373+33003)/3</f>
        <v>32360.666666666668</v>
      </c>
      <c r="BH175" s="72">
        <f>(40110+39575+38429)/3</f>
        <v>39371.333333333336</v>
      </c>
      <c r="BI175" s="72">
        <v>363</v>
      </c>
      <c r="BJ175" s="72">
        <v>273</v>
      </c>
      <c r="BK175" s="71" t="s">
        <v>66</v>
      </c>
      <c r="BL175" s="114">
        <f t="shared" si="49"/>
        <v>636</v>
      </c>
    </row>
    <row r="176" spans="1:64" x14ac:dyDescent="0.2">
      <c r="A176" s="13" t="str">
        <f t="shared" si="35"/>
        <v>2010Q3</v>
      </c>
      <c r="B176" s="11">
        <f t="shared" si="55"/>
        <v>2010</v>
      </c>
      <c r="C176" s="11" t="s">
        <v>3</v>
      </c>
      <c r="D176" s="44">
        <f>468+293+321</f>
        <v>1082</v>
      </c>
      <c r="E176" s="45">
        <f>929+995+875</f>
        <v>2799</v>
      </c>
      <c r="F176" s="87">
        <f t="shared" si="36"/>
        <v>3881</v>
      </c>
      <c r="G176" s="41">
        <f>(2223085+2232104+2237374)/3</f>
        <v>2230854.3333333335</v>
      </c>
      <c r="H176" s="41">
        <f>(2451689+2455763+2457527)/3</f>
        <v>2454993</v>
      </c>
      <c r="I176" s="93">
        <f t="shared" si="42"/>
        <v>224138.66666666651</v>
      </c>
      <c r="J176" s="95">
        <f t="shared" si="44"/>
        <v>0.82413131697869224</v>
      </c>
      <c r="K176" s="95">
        <f t="shared" si="45"/>
        <v>0.74400835595013837</v>
      </c>
      <c r="L176" s="50">
        <f>125+120+104</f>
        <v>349</v>
      </c>
      <c r="M176" s="50">
        <v>0</v>
      </c>
      <c r="N176" s="50">
        <f>192+227+214</f>
        <v>633</v>
      </c>
      <c r="O176" s="50">
        <f>129+106+98</f>
        <v>333</v>
      </c>
      <c r="P176" s="51">
        <f>48+56+55</f>
        <v>159</v>
      </c>
      <c r="Q176" s="98">
        <f>4589+4688+4630</f>
        <v>13907</v>
      </c>
      <c r="R176" s="52">
        <f>2365+2368+2335</f>
        <v>7068</v>
      </c>
      <c r="S176" s="45">
        <v>11734</v>
      </c>
      <c r="T176" s="96">
        <f t="shared" si="56"/>
        <v>84.374775293017905</v>
      </c>
      <c r="U176" s="45">
        <f t="shared" si="53"/>
        <v>2173</v>
      </c>
      <c r="V176" s="96">
        <f t="shared" si="57"/>
        <v>15.625224706982097</v>
      </c>
      <c r="W176" s="45">
        <v>1650</v>
      </c>
      <c r="X176" s="96">
        <f t="shared" si="50"/>
        <v>11.864528654634357</v>
      </c>
      <c r="Y176" s="96">
        <f t="shared" si="51"/>
        <v>12257</v>
      </c>
      <c r="Z176" s="96">
        <f t="shared" si="52"/>
        <v>88.135471345365644</v>
      </c>
      <c r="AA176" s="52">
        <f>4328+4063+4569</f>
        <v>12960</v>
      </c>
      <c r="AB176" s="45">
        <v>0</v>
      </c>
      <c r="AC176" s="105">
        <f t="shared" si="54"/>
        <v>33935</v>
      </c>
      <c r="AD176" s="48">
        <f>0+6+6</f>
        <v>12</v>
      </c>
      <c r="AE176" s="48">
        <f>1566+1523+1332</f>
        <v>4421</v>
      </c>
      <c r="AF176" s="49">
        <f t="shared" si="43"/>
        <v>4433</v>
      </c>
      <c r="AG176" s="38">
        <v>1128</v>
      </c>
      <c r="AH176" s="34">
        <v>2841</v>
      </c>
      <c r="AI176" s="109">
        <f t="shared" si="48"/>
        <v>3969</v>
      </c>
      <c r="AJ176" s="26">
        <v>14155</v>
      </c>
      <c r="AK176" s="26">
        <v>12379</v>
      </c>
      <c r="AL176" s="69" t="s">
        <v>67</v>
      </c>
      <c r="AM176" s="24"/>
      <c r="AN176" s="20">
        <f>55+56+43</f>
        <v>154</v>
      </c>
      <c r="AO176" s="20">
        <f>22+19+18+5+3+3</f>
        <v>70</v>
      </c>
      <c r="AP176" s="106">
        <f t="shared" si="24"/>
        <v>224</v>
      </c>
      <c r="AQ176" s="20">
        <f>(130377+131291+131655)/3</f>
        <v>131107.66666666666</v>
      </c>
      <c r="AR176" s="20">
        <f>(147239+148016+147729)/3</f>
        <v>147661.33333333334</v>
      </c>
      <c r="AS176" s="118">
        <f t="shared" si="58"/>
        <v>0.73276696018054366</v>
      </c>
      <c r="AT176" s="118">
        <f t="shared" si="59"/>
        <v>0.64576868565679768</v>
      </c>
      <c r="AU176" s="20">
        <f>4+5+6</f>
        <v>15</v>
      </c>
      <c r="AV176" s="20">
        <v>1</v>
      </c>
      <c r="AW176" s="20">
        <f>12+9+22</f>
        <v>43</v>
      </c>
      <c r="AX176" s="22">
        <v>0</v>
      </c>
      <c r="AY176" s="22">
        <v>3099</v>
      </c>
      <c r="AZ176" s="22">
        <v>1631</v>
      </c>
      <c r="BA176" s="20">
        <v>2076</v>
      </c>
      <c r="BB176" s="106">
        <f t="shared" si="39"/>
        <v>5175</v>
      </c>
      <c r="BC176" s="24"/>
      <c r="BD176" s="50">
        <v>55</v>
      </c>
      <c r="BE176" s="50">
        <f>8+10+6</f>
        <v>24</v>
      </c>
      <c r="BF176" s="114">
        <f t="shared" si="40"/>
        <v>79</v>
      </c>
      <c r="BG176" s="72">
        <f>(33156+33356+33597)/3</f>
        <v>33369.666666666664</v>
      </c>
      <c r="BH176" s="72">
        <f>(38449+37942+36554)/3</f>
        <v>37648.333333333336</v>
      </c>
      <c r="BI176" s="72">
        <v>290</v>
      </c>
      <c r="BJ176" s="72">
        <v>261</v>
      </c>
      <c r="BK176" s="71" t="s">
        <v>66</v>
      </c>
      <c r="BL176" s="114">
        <f t="shared" si="49"/>
        <v>551</v>
      </c>
    </row>
    <row r="177" spans="1:64" x14ac:dyDescent="0.2">
      <c r="A177" s="13" t="str">
        <f t="shared" si="35"/>
        <v>2010Q4</v>
      </c>
      <c r="B177" s="11">
        <f t="shared" si="55"/>
        <v>2010</v>
      </c>
      <c r="C177" s="11" t="s">
        <v>4</v>
      </c>
      <c r="D177" s="44">
        <f>337+486+372</f>
        <v>1195</v>
      </c>
      <c r="E177" s="45">
        <f>1017+952+710</f>
        <v>2679</v>
      </c>
      <c r="F177" s="87">
        <f t="shared" si="36"/>
        <v>3874</v>
      </c>
      <c r="G177" s="41">
        <f>(2247113+2249736+2256935)/3</f>
        <v>2251261.3333333335</v>
      </c>
      <c r="H177" s="41">
        <f>(2463278+2469668+2467969)/3</f>
        <v>2466971.6666666665</v>
      </c>
      <c r="I177" s="93">
        <f t="shared" si="42"/>
        <v>215710.33333333302</v>
      </c>
      <c r="J177" s="95">
        <f t="shared" si="44"/>
        <v>0.78959857342494155</v>
      </c>
      <c r="K177" s="95">
        <f t="shared" si="45"/>
        <v>0.71536005258816038</v>
      </c>
      <c r="L177" s="50">
        <f>106+109+87</f>
        <v>302</v>
      </c>
      <c r="M177" s="50">
        <v>0</v>
      </c>
      <c r="N177" s="50">
        <f>223+247+172</f>
        <v>642</v>
      </c>
      <c r="O177" s="50">
        <f>102+113+67</f>
        <v>282</v>
      </c>
      <c r="P177" s="51">
        <f>63+65+42</f>
        <v>170</v>
      </c>
      <c r="Q177" s="98">
        <f>4258+4700+3070</f>
        <v>12028</v>
      </c>
      <c r="R177" s="52">
        <f>1522+2820+1830</f>
        <v>6172</v>
      </c>
      <c r="S177" s="45">
        <f>3622+4052+2596</f>
        <v>10270</v>
      </c>
      <c r="T177" s="96">
        <f t="shared" si="56"/>
        <v>85.384103757898231</v>
      </c>
      <c r="U177" s="45">
        <f t="shared" si="53"/>
        <v>1758</v>
      </c>
      <c r="V177" s="96">
        <f t="shared" si="57"/>
        <v>14.615896242101762</v>
      </c>
      <c r="W177" s="45">
        <v>2275</v>
      </c>
      <c r="X177" s="96">
        <f t="shared" si="50"/>
        <v>18.91420019953442</v>
      </c>
      <c r="Y177" s="96">
        <f t="shared" si="51"/>
        <v>9753</v>
      </c>
      <c r="Z177" s="96">
        <f t="shared" si="52"/>
        <v>81.08579980046558</v>
      </c>
      <c r="AA177" s="52">
        <f>3977+4255+4253</f>
        <v>12485</v>
      </c>
      <c r="AB177" s="45">
        <v>0</v>
      </c>
      <c r="AC177" s="105">
        <f t="shared" si="54"/>
        <v>30685</v>
      </c>
      <c r="AD177" s="48">
        <v>12</v>
      </c>
      <c r="AE177" s="48">
        <v>3500</v>
      </c>
      <c r="AF177" s="49">
        <f t="shared" si="43"/>
        <v>3512</v>
      </c>
      <c r="AG177" s="38">
        <v>1179</v>
      </c>
      <c r="AH177" s="34">
        <v>2820</v>
      </c>
      <c r="AI177" s="109">
        <f t="shared" si="48"/>
        <v>3999</v>
      </c>
      <c r="AJ177" s="26">
        <v>12704</v>
      </c>
      <c r="AK177" s="26">
        <v>12299</v>
      </c>
      <c r="AL177" s="69" t="s">
        <v>67</v>
      </c>
      <c r="AM177" s="24"/>
      <c r="AN177" s="20">
        <f>44+64+56</f>
        <v>164</v>
      </c>
      <c r="AO177" s="20">
        <f>22+23+20+7+2+7</f>
        <v>81</v>
      </c>
      <c r="AP177" s="106">
        <f t="shared" si="24"/>
        <v>245</v>
      </c>
      <c r="AQ177" s="20">
        <f>(131802+132360+132157)/3</f>
        <v>132106.33333333334</v>
      </c>
      <c r="AR177" s="20">
        <f>(147515+147767+147397)/3</f>
        <v>147559.66666666666</v>
      </c>
      <c r="AS177" s="118">
        <f t="shared" si="58"/>
        <v>0.79803544779933344</v>
      </c>
      <c r="AT177" s="118">
        <f t="shared" si="59"/>
        <v>0.705995251543305</v>
      </c>
      <c r="AU177" s="20">
        <f>4+2+0</f>
        <v>6</v>
      </c>
      <c r="AV177" s="20">
        <f>0</f>
        <v>0</v>
      </c>
      <c r="AW177" s="20">
        <f>21+25+9</f>
        <v>55</v>
      </c>
      <c r="AX177" s="22">
        <f>1+3+0</f>
        <v>4</v>
      </c>
      <c r="AY177" s="22">
        <v>2501</v>
      </c>
      <c r="AZ177" s="22">
        <v>1368</v>
      </c>
      <c r="BA177" s="20">
        <v>2090</v>
      </c>
      <c r="BB177" s="106">
        <f t="shared" si="39"/>
        <v>4591</v>
      </c>
      <c r="BC177" s="24"/>
      <c r="BD177" s="50">
        <v>54</v>
      </c>
      <c r="BE177" s="50">
        <f>7+6+15+0+1+2</f>
        <v>31</v>
      </c>
      <c r="BF177" s="114">
        <f t="shared" si="40"/>
        <v>85</v>
      </c>
      <c r="BG177" s="72">
        <f>(33704+33209+33169)/3</f>
        <v>33360.666666666664</v>
      </c>
      <c r="BH177" s="72">
        <f>(36559+36779+36810)/3</f>
        <v>36716</v>
      </c>
      <c r="BI177" s="72">
        <v>352</v>
      </c>
      <c r="BJ177" s="72">
        <v>230</v>
      </c>
      <c r="BK177" s="71" t="s">
        <v>66</v>
      </c>
      <c r="BL177" s="114">
        <f t="shared" si="49"/>
        <v>582</v>
      </c>
    </row>
    <row r="178" spans="1:64" x14ac:dyDescent="0.2">
      <c r="A178" s="13" t="str">
        <f t="shared" si="35"/>
        <v>2011Q1</v>
      </c>
      <c r="B178" s="11">
        <f t="shared" si="55"/>
        <v>2011</v>
      </c>
      <c r="C178" s="11" t="s">
        <v>1</v>
      </c>
      <c r="D178" s="44">
        <f>354+383+374</f>
        <v>1111</v>
      </c>
      <c r="E178" s="45">
        <f>956+955+1275</f>
        <v>3186</v>
      </c>
      <c r="F178" s="87">
        <f t="shared" si="36"/>
        <v>4297</v>
      </c>
      <c r="G178" s="41">
        <f>(2264324+2266142+2287825)/3</f>
        <v>2272763.6666666665</v>
      </c>
      <c r="H178" s="41">
        <f>(2474097+2482736+2498653)/3</f>
        <v>2485162</v>
      </c>
      <c r="I178" s="93">
        <f t="shared" si="42"/>
        <v>212398.33333333349</v>
      </c>
      <c r="J178" s="95">
        <f t="shared" si="44"/>
        <v>0.78043330112019393</v>
      </c>
      <c r="K178" s="95">
        <f t="shared" si="45"/>
        <v>0.7099795459723427</v>
      </c>
      <c r="L178" s="50">
        <f>114+102+133</f>
        <v>349</v>
      </c>
      <c r="M178" s="50">
        <v>0</v>
      </c>
      <c r="N178" s="50">
        <f>295+243+244</f>
        <v>782</v>
      </c>
      <c r="O178" s="50">
        <f>126+91+113</f>
        <v>330</v>
      </c>
      <c r="P178" s="51">
        <f>77+35+71</f>
        <v>183</v>
      </c>
      <c r="Q178" s="98">
        <f>3735+3962+4842</f>
        <v>12539</v>
      </c>
      <c r="R178" s="52">
        <f>1940+2210+2638</f>
        <v>6788</v>
      </c>
      <c r="S178" s="45">
        <f>3041+3388+4128</f>
        <v>10557</v>
      </c>
      <c r="T178" s="96">
        <f t="shared" si="56"/>
        <v>84.19331685142356</v>
      </c>
      <c r="U178" s="45">
        <f t="shared" si="53"/>
        <v>1982</v>
      </c>
      <c r="V178" s="96">
        <f t="shared" si="57"/>
        <v>15.806683148576441</v>
      </c>
      <c r="W178" s="45">
        <v>2579</v>
      </c>
      <c r="X178" s="96">
        <f t="shared" si="50"/>
        <v>20.56782837546854</v>
      </c>
      <c r="Y178" s="96">
        <f t="shared" si="51"/>
        <v>9960</v>
      </c>
      <c r="Z178" s="96">
        <f t="shared" si="52"/>
        <v>79.432171624531463</v>
      </c>
      <c r="AA178" s="52">
        <f>3251+2878+4689</f>
        <v>10818</v>
      </c>
      <c r="AB178" s="45">
        <v>0</v>
      </c>
      <c r="AC178" s="105">
        <f t="shared" si="54"/>
        <v>30145</v>
      </c>
      <c r="AD178" s="48">
        <v>10</v>
      </c>
      <c r="AE178" s="48">
        <v>1467</v>
      </c>
      <c r="AF178" s="49">
        <f t="shared" si="43"/>
        <v>1477</v>
      </c>
      <c r="AG178" s="38">
        <v>1086</v>
      </c>
      <c r="AH178" s="34">
        <v>3023</v>
      </c>
      <c r="AI178" s="109">
        <f t="shared" si="48"/>
        <v>4109</v>
      </c>
      <c r="AJ178" s="26">
        <v>11754</v>
      </c>
      <c r="AK178" s="26">
        <v>11657</v>
      </c>
      <c r="AL178" s="69" t="s">
        <v>67</v>
      </c>
      <c r="AM178" s="24"/>
      <c r="AN178" s="20">
        <f>65+54+89</f>
        <v>208</v>
      </c>
      <c r="AO178" s="20">
        <f>13+27+25+3+1+2</f>
        <v>71</v>
      </c>
      <c r="AP178" s="106">
        <f t="shared" si="24"/>
        <v>279</v>
      </c>
      <c r="AQ178" s="20">
        <f>(132523+132936+133991)/3</f>
        <v>133150</v>
      </c>
      <c r="AR178" s="20">
        <f>(147886+148735+150112)/3</f>
        <v>148911</v>
      </c>
      <c r="AS178" s="118">
        <f t="shared" si="58"/>
        <v>0.79450561982842738</v>
      </c>
      <c r="AT178" s="118">
        <f t="shared" si="59"/>
        <v>0.70699946383055012</v>
      </c>
      <c r="AU178" s="20">
        <f>7+0+8</f>
        <v>15</v>
      </c>
      <c r="AV178" s="20">
        <v>0</v>
      </c>
      <c r="AW178" s="20">
        <f>13+18+26</f>
        <v>57</v>
      </c>
      <c r="AX178" s="22">
        <f>0+2+1</f>
        <v>3</v>
      </c>
      <c r="AY178" s="22">
        <v>2698</v>
      </c>
      <c r="AZ178" s="22">
        <v>1204</v>
      </c>
      <c r="BA178" s="20">
        <v>1575</v>
      </c>
      <c r="BB178" s="106">
        <f t="shared" si="39"/>
        <v>4273</v>
      </c>
      <c r="BC178" s="24"/>
      <c r="BD178" s="50">
        <v>61</v>
      </c>
      <c r="BE178" s="50">
        <f>5+11+14+3</f>
        <v>33</v>
      </c>
      <c r="BF178" s="114">
        <f t="shared" si="40"/>
        <v>94</v>
      </c>
      <c r="BG178" s="72">
        <f>(33537+33719+34161)/3</f>
        <v>33805.666666666664</v>
      </c>
      <c r="BH178" s="72">
        <f>(36975+37120+37392)/3</f>
        <v>37162.333333333336</v>
      </c>
      <c r="BI178" s="72">
        <v>451</v>
      </c>
      <c r="BJ178" s="72">
        <v>241</v>
      </c>
      <c r="BK178" s="71" t="s">
        <v>66</v>
      </c>
      <c r="BL178" s="114">
        <f t="shared" si="49"/>
        <v>692</v>
      </c>
    </row>
    <row r="179" spans="1:64" x14ac:dyDescent="0.2">
      <c r="A179" s="13" t="str">
        <f t="shared" si="35"/>
        <v>2011Q2</v>
      </c>
      <c r="B179" s="11">
        <f t="shared" si="55"/>
        <v>2011</v>
      </c>
      <c r="C179" s="11" t="s">
        <v>2</v>
      </c>
      <c r="D179" s="44">
        <f>295+470+552</f>
        <v>1317</v>
      </c>
      <c r="E179" s="45">
        <f>891+1069+991</f>
        <v>2951</v>
      </c>
      <c r="F179" s="87">
        <f t="shared" si="36"/>
        <v>4268</v>
      </c>
      <c r="G179" s="41">
        <f>(2295864+2317637+2315256)/3</f>
        <v>2309585.6666666665</v>
      </c>
      <c r="H179" s="41">
        <f>(2514117+ 2524602+2534040)/3</f>
        <v>2524253</v>
      </c>
      <c r="I179" s="93">
        <f t="shared" si="42"/>
        <v>214667.33333333349</v>
      </c>
      <c r="J179" s="95">
        <f t="shared" si="44"/>
        <v>0.77321717277302082</v>
      </c>
      <c r="K179" s="95">
        <f t="shared" si="45"/>
        <v>0.7057226926409923</v>
      </c>
      <c r="L179" s="50">
        <f>96+90+164</f>
        <v>350</v>
      </c>
      <c r="M179" s="50">
        <v>0</v>
      </c>
      <c r="N179" s="50">
        <f>219+214+262</f>
        <v>695</v>
      </c>
      <c r="O179" s="50">
        <f>75+100+82</f>
        <v>257</v>
      </c>
      <c r="P179" s="51">
        <f>58+79+50</f>
        <v>187</v>
      </c>
      <c r="Q179" s="98">
        <f t="shared" ref="Q179:Q187" si="60">SUM(S179,U179)</f>
        <v>11101</v>
      </c>
      <c r="R179" s="79">
        <v>7258</v>
      </c>
      <c r="S179" s="45">
        <f>2927+3691+2595</f>
        <v>9213</v>
      </c>
      <c r="T179" s="96">
        <f t="shared" si="56"/>
        <v>82.992523196108465</v>
      </c>
      <c r="U179" s="45">
        <f>603+625+660</f>
        <v>1888</v>
      </c>
      <c r="V179" s="96">
        <f t="shared" si="57"/>
        <v>17.007476803891542</v>
      </c>
      <c r="W179" s="45">
        <v>2324</v>
      </c>
      <c r="X179" s="96">
        <f t="shared" si="50"/>
        <v>20.935050896315648</v>
      </c>
      <c r="Y179" s="96">
        <f t="shared" si="51"/>
        <v>8777</v>
      </c>
      <c r="Z179" s="96">
        <f t="shared" si="52"/>
        <v>79.064949103684356</v>
      </c>
      <c r="AA179" s="52">
        <f>3704+3923+4516</f>
        <v>12143</v>
      </c>
      <c r="AB179" s="45">
        <v>0</v>
      </c>
      <c r="AC179" s="105">
        <f t="shared" si="54"/>
        <v>30502</v>
      </c>
      <c r="AD179" s="83" t="s">
        <v>89</v>
      </c>
      <c r="AE179" s="78"/>
      <c r="AF179" s="49"/>
      <c r="AG179" s="80">
        <v>1317</v>
      </c>
      <c r="AH179" s="81">
        <v>2913</v>
      </c>
      <c r="AI179" s="109">
        <f t="shared" si="48"/>
        <v>4230</v>
      </c>
      <c r="AJ179" s="82">
        <v>11289</v>
      </c>
      <c r="AK179" s="82">
        <v>12023</v>
      </c>
      <c r="AL179" s="69" t="s">
        <v>67</v>
      </c>
      <c r="AM179" s="24"/>
      <c r="AN179" s="20">
        <f>55+94+112</f>
        <v>261</v>
      </c>
      <c r="AO179" s="20">
        <f>4+2+1+27+32+21</f>
        <v>87</v>
      </c>
      <c r="AP179" s="106">
        <f t="shared" si="24"/>
        <v>348</v>
      </c>
      <c r="AQ179" s="20">
        <f>(134317+135171+135359)/3</f>
        <v>134949</v>
      </c>
      <c r="AR179" s="20">
        <f>(150933+151926+152688)/3</f>
        <v>151849</v>
      </c>
      <c r="AS179" s="118">
        <f t="shared" si="58"/>
        <v>0.82512567921357094</v>
      </c>
      <c r="AT179" s="118">
        <f t="shared" si="59"/>
        <v>0.7355939199404008</v>
      </c>
      <c r="AU179" s="20">
        <f>4</f>
        <v>4</v>
      </c>
      <c r="AV179" s="20">
        <v>0</v>
      </c>
      <c r="AW179" s="20">
        <f>21+19+21</f>
        <v>61</v>
      </c>
      <c r="AX179" s="22">
        <f>1+3+1</f>
        <v>5</v>
      </c>
      <c r="AY179" s="22">
        <v>2948</v>
      </c>
      <c r="AZ179" s="22">
        <v>1305</v>
      </c>
      <c r="BA179" s="20">
        <v>2372</v>
      </c>
      <c r="BB179" s="106">
        <f t="shared" si="39"/>
        <v>5320</v>
      </c>
      <c r="BC179" s="24"/>
      <c r="BD179" s="50">
        <v>56</v>
      </c>
      <c r="BE179" s="50">
        <f>9+8+13+1+2+2</f>
        <v>35</v>
      </c>
      <c r="BF179" s="114">
        <f t="shared" si="40"/>
        <v>91</v>
      </c>
      <c r="BG179" s="72">
        <f>(34310+34599+34494)/3</f>
        <v>34467.666666666664</v>
      </c>
      <c r="BH179" s="72">
        <f>(37407+37538+37663)/3</f>
        <v>37536</v>
      </c>
      <c r="BI179" s="72">
        <v>451</v>
      </c>
      <c r="BJ179" s="72">
        <v>301</v>
      </c>
      <c r="BK179" s="71" t="s">
        <v>66</v>
      </c>
      <c r="BL179" s="114">
        <f t="shared" si="49"/>
        <v>752</v>
      </c>
    </row>
    <row r="180" spans="1:64" x14ac:dyDescent="0.2">
      <c r="A180" s="13" t="str">
        <f t="shared" si="35"/>
        <v>2011Q3</v>
      </c>
      <c r="B180" s="11">
        <f t="shared" si="55"/>
        <v>2011</v>
      </c>
      <c r="C180" s="11" t="s">
        <v>3</v>
      </c>
      <c r="D180" s="44">
        <f>447+333+369</f>
        <v>1149</v>
      </c>
      <c r="E180" s="45">
        <f>1138+953+912</f>
        <v>3003</v>
      </c>
      <c r="F180" s="87">
        <f t="shared" si="36"/>
        <v>4152</v>
      </c>
      <c r="G180" s="41">
        <f>(2330079+2341325+2355125)/3</f>
        <v>2342176.3333333335</v>
      </c>
      <c r="H180" s="41">
        <f>(2545761+2558280+2575133)/3</f>
        <v>2559724.6666666665</v>
      </c>
      <c r="I180" s="93">
        <f t="shared" si="42"/>
        <v>217548.33333333302</v>
      </c>
      <c r="J180" s="95">
        <f t="shared" ref="J180:J211" si="61">SUM(F177:F180,O177:O180)/AVERAGE(G177:G180)*100</f>
        <v>0.77390636901227106</v>
      </c>
      <c r="K180" s="95">
        <f t="shared" ref="K180:K211" si="62">SUM(F177:F180,O177:O180)/AVERAGE(H177:H180)*100</f>
        <v>0.70756488884439772</v>
      </c>
      <c r="L180" s="50">
        <f>153+135+86</f>
        <v>374</v>
      </c>
      <c r="M180" s="50">
        <v>0</v>
      </c>
      <c r="N180" s="50">
        <f>256+235+182</f>
        <v>673</v>
      </c>
      <c r="O180" s="50">
        <f>157+61+75</f>
        <v>293</v>
      </c>
      <c r="P180" s="51">
        <f>69+70+67</f>
        <v>206</v>
      </c>
      <c r="Q180" s="98">
        <f t="shared" si="60"/>
        <v>9578</v>
      </c>
      <c r="R180" s="52">
        <f>2589+2498+2517</f>
        <v>7604</v>
      </c>
      <c r="S180" s="45">
        <f>2557+2565+2432</f>
        <v>7554</v>
      </c>
      <c r="T180" s="96">
        <f t="shared" si="56"/>
        <v>78.868239716015864</v>
      </c>
      <c r="U180" s="45">
        <f>654+715+655</f>
        <v>2024</v>
      </c>
      <c r="V180" s="96">
        <f t="shared" si="57"/>
        <v>21.131760283984129</v>
      </c>
      <c r="W180" s="45">
        <v>2035</v>
      </c>
      <c r="X180" s="96">
        <f t="shared" si="50"/>
        <v>21.246606807266652</v>
      </c>
      <c r="Y180" s="96">
        <f t="shared" si="51"/>
        <v>7543</v>
      </c>
      <c r="Z180" s="96">
        <f t="shared" si="52"/>
        <v>78.753393192733341</v>
      </c>
      <c r="AA180" s="52">
        <v>13048</v>
      </c>
      <c r="AB180" s="45">
        <v>0</v>
      </c>
      <c r="AC180" s="105">
        <f t="shared" si="54"/>
        <v>30230</v>
      </c>
      <c r="AD180" s="83" t="s">
        <v>90</v>
      </c>
      <c r="AE180" s="78"/>
      <c r="AF180" s="49"/>
      <c r="AG180" s="38">
        <v>1197</v>
      </c>
      <c r="AH180" s="34">
        <v>3057</v>
      </c>
      <c r="AI180" s="109">
        <f t="shared" si="48"/>
        <v>4254</v>
      </c>
      <c r="AJ180" s="26">
        <v>9719</v>
      </c>
      <c r="AK180" s="26">
        <v>12512</v>
      </c>
      <c r="AL180" s="69" t="s">
        <v>67</v>
      </c>
      <c r="AM180" s="24"/>
      <c r="AN180" s="20">
        <f>65+96+75</f>
        <v>236</v>
      </c>
      <c r="AO180" s="20">
        <f>2+23+5+23+6+25</f>
        <v>84</v>
      </c>
      <c r="AP180" s="106">
        <f t="shared" si="24"/>
        <v>320</v>
      </c>
      <c r="AQ180" s="20">
        <f>(135899+136950+137570)/3</f>
        <v>136806.33333333334</v>
      </c>
      <c r="AR180" s="20">
        <f>(153186+154001+154471)/3</f>
        <v>153886</v>
      </c>
      <c r="AS180" s="118">
        <f t="shared" si="58"/>
        <v>0.88787642726570171</v>
      </c>
      <c r="AT180" s="118">
        <f t="shared" si="59"/>
        <v>0.7917560833314421</v>
      </c>
      <c r="AU180" s="20">
        <v>0</v>
      </c>
      <c r="AV180" s="20">
        <v>0</v>
      </c>
      <c r="AW180" s="20">
        <f>16+19+17</f>
        <v>52</v>
      </c>
      <c r="AX180" s="22">
        <v>1</v>
      </c>
      <c r="AY180" s="22">
        <v>2857</v>
      </c>
      <c r="AZ180" s="22">
        <v>1223</v>
      </c>
      <c r="BA180" s="20">
        <v>2526</v>
      </c>
      <c r="BB180" s="106">
        <f t="shared" si="39"/>
        <v>5383</v>
      </c>
      <c r="BC180" s="24"/>
      <c r="BD180" s="50">
        <v>43</v>
      </c>
      <c r="BE180" s="50">
        <f>10+2+7+3+17</f>
        <v>39</v>
      </c>
      <c r="BF180" s="114">
        <f t="shared" si="40"/>
        <v>82</v>
      </c>
      <c r="BG180" s="72">
        <f>(34525+34672+34970)/3</f>
        <v>34722.333333333336</v>
      </c>
      <c r="BH180" s="72">
        <f>(37767+38004+38221)/3</f>
        <v>37997.333333333336</v>
      </c>
      <c r="BI180" s="72">
        <v>301</v>
      </c>
      <c r="BJ180" s="72">
        <v>273</v>
      </c>
      <c r="BK180" s="72">
        <v>34</v>
      </c>
      <c r="BL180" s="114">
        <f t="shared" ref="BL180:BL211" si="63">BI180+BJ180+BK180</f>
        <v>608</v>
      </c>
    </row>
    <row r="181" spans="1:64" x14ac:dyDescent="0.2">
      <c r="A181" s="13" t="str">
        <f t="shared" si="35"/>
        <v>2011Q4</v>
      </c>
      <c r="B181" s="11">
        <f t="shared" si="55"/>
        <v>2011</v>
      </c>
      <c r="C181" s="11" t="s">
        <v>4</v>
      </c>
      <c r="D181" s="44">
        <f>559+452+415</f>
        <v>1426</v>
      </c>
      <c r="E181" s="45">
        <f>966+1000+777</f>
        <v>2743</v>
      </c>
      <c r="F181" s="87">
        <f t="shared" si="36"/>
        <v>4169</v>
      </c>
      <c r="G181" s="41">
        <f>(2370569+2373154+2382223)/3</f>
        <v>2375315.3333333335</v>
      </c>
      <c r="H181" s="41">
        <f>(2591237+2599521+2605891)/3</f>
        <v>2598883</v>
      </c>
      <c r="I181" s="93">
        <f t="shared" si="42"/>
        <v>223567.66666666651</v>
      </c>
      <c r="J181" s="95">
        <f t="shared" si="61"/>
        <v>0.7747659341702724</v>
      </c>
      <c r="K181" s="95">
        <f t="shared" si="62"/>
        <v>0.70861368391914159</v>
      </c>
      <c r="L181" s="50">
        <f>116+106+102</f>
        <v>324</v>
      </c>
      <c r="M181" s="50">
        <v>0</v>
      </c>
      <c r="N181" s="50">
        <f>239+221+198</f>
        <v>658</v>
      </c>
      <c r="O181" s="50">
        <f>87+85+75</f>
        <v>247</v>
      </c>
      <c r="P181" s="51">
        <f>65+66+60</f>
        <v>191</v>
      </c>
      <c r="Q181" s="98">
        <f t="shared" si="60"/>
        <v>8658</v>
      </c>
      <c r="R181" s="52">
        <v>7359</v>
      </c>
      <c r="S181" s="45">
        <f>2395+2476+1878</f>
        <v>6749</v>
      </c>
      <c r="T181" s="96">
        <f t="shared" si="56"/>
        <v>77.951027951027953</v>
      </c>
      <c r="U181" s="45">
        <f>686+686+537</f>
        <v>1909</v>
      </c>
      <c r="V181" s="96">
        <f t="shared" si="57"/>
        <v>22.048972048972047</v>
      </c>
      <c r="W181" s="45">
        <v>1955</v>
      </c>
      <c r="X181" s="96">
        <f t="shared" si="50"/>
        <v>22.580272580272581</v>
      </c>
      <c r="Y181" s="96">
        <f t="shared" si="51"/>
        <v>6703</v>
      </c>
      <c r="Z181" s="96">
        <f t="shared" si="52"/>
        <v>77.419727419727423</v>
      </c>
      <c r="AA181" s="52">
        <f>3763+5385+3899</f>
        <v>13047</v>
      </c>
      <c r="AB181" s="45">
        <v>0</v>
      </c>
      <c r="AC181" s="105">
        <f t="shared" si="54"/>
        <v>29064</v>
      </c>
      <c r="AD181" s="83" t="s">
        <v>91</v>
      </c>
      <c r="AE181" s="78"/>
      <c r="AF181" s="49"/>
      <c r="AG181" s="38">
        <v>1403</v>
      </c>
      <c r="AH181" s="34">
        <v>2891</v>
      </c>
      <c r="AI181" s="109">
        <f t="shared" si="48"/>
        <v>4294</v>
      </c>
      <c r="AJ181" s="26">
        <v>9114</v>
      </c>
      <c r="AK181" s="26">
        <v>12864</v>
      </c>
      <c r="AL181" s="69" t="s">
        <v>67</v>
      </c>
      <c r="AM181" s="24"/>
      <c r="AN181" s="20">
        <f>71+74+68</f>
        <v>213</v>
      </c>
      <c r="AO181" s="20">
        <f>24+30+12+4+5+2</f>
        <v>77</v>
      </c>
      <c r="AP181" s="106">
        <f t="shared" si="24"/>
        <v>290</v>
      </c>
      <c r="AQ181" s="20">
        <f>(138101+138969+138904)/3</f>
        <v>138658</v>
      </c>
      <c r="AR181" s="20">
        <f>(155186+155173+154370)/3</f>
        <v>154909.66666666666</v>
      </c>
      <c r="AS181" s="118">
        <f t="shared" si="58"/>
        <v>0.91028950934880315</v>
      </c>
      <c r="AT181" s="118">
        <f t="shared" si="59"/>
        <v>0.81173882396302888</v>
      </c>
      <c r="AU181" s="20">
        <f>19+5</f>
        <v>24</v>
      </c>
      <c r="AV181" s="20">
        <v>0</v>
      </c>
      <c r="AW181" s="20">
        <f>31+20+15</f>
        <v>66</v>
      </c>
      <c r="AX181" s="22">
        <f>1+2+2</f>
        <v>5</v>
      </c>
      <c r="AY181" s="22">
        <v>2625</v>
      </c>
      <c r="AZ181" s="22">
        <v>1080</v>
      </c>
      <c r="BA181" s="20">
        <v>2049</v>
      </c>
      <c r="BB181" s="106">
        <f t="shared" si="39"/>
        <v>4674</v>
      </c>
      <c r="BC181" s="24"/>
      <c r="BD181" s="50">
        <v>48</v>
      </c>
      <c r="BE181" s="50">
        <f>11+6+11+1</f>
        <v>29</v>
      </c>
      <c r="BF181" s="114">
        <f t="shared" si="40"/>
        <v>77</v>
      </c>
      <c r="BG181" s="72">
        <f>(35319+35429+35424)/3</f>
        <v>35390.666666666664</v>
      </c>
      <c r="BH181" s="72">
        <f>(38433+38654+38720)/3</f>
        <v>38602.333333333336</v>
      </c>
      <c r="BI181" s="72">
        <v>412</v>
      </c>
      <c r="BJ181" s="72">
        <v>297</v>
      </c>
      <c r="BK181" s="72">
        <v>78</v>
      </c>
      <c r="BL181" s="114">
        <f t="shared" si="63"/>
        <v>787</v>
      </c>
    </row>
    <row r="182" spans="1:64" x14ac:dyDescent="0.2">
      <c r="A182" s="13" t="str">
        <f t="shared" si="35"/>
        <v>2012Q1</v>
      </c>
      <c r="B182" s="11">
        <f t="shared" si="55"/>
        <v>2012</v>
      </c>
      <c r="C182" s="11" t="s">
        <v>1</v>
      </c>
      <c r="D182" s="44">
        <f>385+435+413</f>
        <v>1233</v>
      </c>
      <c r="E182" s="45">
        <f>918+1123+1208</f>
        <v>3249</v>
      </c>
      <c r="F182" s="87">
        <f t="shared" si="36"/>
        <v>4482</v>
      </c>
      <c r="G182" s="41">
        <f>(2399139+2404352+2431767)/3</f>
        <v>2411752.6666666665</v>
      </c>
      <c r="H182" s="41">
        <f>(2621534+2635486+2660763)/3</f>
        <v>2639261</v>
      </c>
      <c r="I182" s="93">
        <f t="shared" si="42"/>
        <v>227508.33333333349</v>
      </c>
      <c r="J182" s="95">
        <f t="shared" si="61"/>
        <v>0.76767989252905289</v>
      </c>
      <c r="K182" s="95">
        <f t="shared" si="62"/>
        <v>0.70198746284880387</v>
      </c>
      <c r="L182" s="50">
        <f>98+125+113</f>
        <v>336</v>
      </c>
      <c r="M182" s="50">
        <v>0</v>
      </c>
      <c r="N182" s="50">
        <f>249+300+230</f>
        <v>779</v>
      </c>
      <c r="O182" s="50">
        <f>83+86+78</f>
        <v>247</v>
      </c>
      <c r="P182" s="51">
        <f>58+61+56</f>
        <v>175</v>
      </c>
      <c r="Q182" s="98">
        <f t="shared" si="60"/>
        <v>9132</v>
      </c>
      <c r="R182" s="52">
        <v>7897</v>
      </c>
      <c r="S182" s="45">
        <f>2151+2486+2596</f>
        <v>7233</v>
      </c>
      <c r="T182" s="96">
        <f t="shared" si="56"/>
        <v>79.204993429697765</v>
      </c>
      <c r="U182" s="45">
        <f>686+587+626</f>
        <v>1899</v>
      </c>
      <c r="V182" s="96">
        <f t="shared" si="57"/>
        <v>20.795006570302235</v>
      </c>
      <c r="W182" s="45">
        <v>2213</v>
      </c>
      <c r="X182" s="96">
        <f t="shared" si="50"/>
        <v>24.233464739378011</v>
      </c>
      <c r="Y182" s="96">
        <f t="shared" si="51"/>
        <v>6919</v>
      </c>
      <c r="Z182" s="96">
        <f t="shared" si="52"/>
        <v>75.766535260621993</v>
      </c>
      <c r="AA182" s="52">
        <f>4091+3089+4514</f>
        <v>11694</v>
      </c>
      <c r="AB182" s="45">
        <v>0</v>
      </c>
      <c r="AC182" s="105">
        <f t="shared" si="54"/>
        <v>28723</v>
      </c>
      <c r="AD182" s="48"/>
      <c r="AE182" s="48"/>
      <c r="AF182" s="49">
        <f t="shared" ref="AF182:AF213" si="64">AD182+AE182</f>
        <v>0</v>
      </c>
      <c r="AG182" s="38">
        <v>1204</v>
      </c>
      <c r="AH182" s="34">
        <v>3093</v>
      </c>
      <c r="AI182" s="109">
        <f t="shared" si="48"/>
        <v>4297</v>
      </c>
      <c r="AJ182" s="26">
        <v>8572</v>
      </c>
      <c r="AK182" s="26">
        <v>12555</v>
      </c>
      <c r="AL182" s="69" t="s">
        <v>67</v>
      </c>
      <c r="AM182" s="24"/>
      <c r="AN182" s="20">
        <f>67+109+135</f>
        <v>311</v>
      </c>
      <c r="AO182" s="20">
        <v>66</v>
      </c>
      <c r="AP182" s="106">
        <f t="shared" ref="AP182:AP245" si="65">AN182+AO182</f>
        <v>377</v>
      </c>
      <c r="AQ182" s="20">
        <f>(139533+140246+142272)/3</f>
        <v>140683.66666666666</v>
      </c>
      <c r="AR182" s="20">
        <f>(155341+156014+157016)/3</f>
        <v>156123.66666666666</v>
      </c>
      <c r="AS182" s="118">
        <f t="shared" si="58"/>
        <v>0.96897642338826007</v>
      </c>
      <c r="AT182" s="118">
        <f t="shared" si="59"/>
        <v>0.86580320541748534</v>
      </c>
      <c r="AU182" s="20">
        <f>1+1+4</f>
        <v>6</v>
      </c>
      <c r="AV182" s="20">
        <v>0</v>
      </c>
      <c r="AW182" s="20">
        <f>11+21+17</f>
        <v>49</v>
      </c>
      <c r="AX182" s="22">
        <f>1+0+0</f>
        <v>1</v>
      </c>
      <c r="AY182" s="22">
        <v>2626</v>
      </c>
      <c r="AZ182" s="22">
        <v>1060</v>
      </c>
      <c r="BA182" s="20">
        <v>2247</v>
      </c>
      <c r="BB182" s="106">
        <f t="shared" si="39"/>
        <v>4873</v>
      </c>
      <c r="BC182" s="24"/>
      <c r="BD182" s="50">
        <v>72</v>
      </c>
      <c r="BE182" s="50">
        <v>39</v>
      </c>
      <c r="BF182" s="114">
        <f t="shared" si="40"/>
        <v>111</v>
      </c>
      <c r="BG182" s="72">
        <f>(35630+35794+36164)/3</f>
        <v>35862.666666666664</v>
      </c>
      <c r="BH182" s="72">
        <f>(38914+39183+39475)/3</f>
        <v>39190.666666666664</v>
      </c>
      <c r="BI182" s="72">
        <v>405</v>
      </c>
      <c r="BJ182" s="72">
        <v>276</v>
      </c>
      <c r="BK182" s="72">
        <v>113</v>
      </c>
      <c r="BL182" s="114">
        <f t="shared" si="63"/>
        <v>794</v>
      </c>
    </row>
    <row r="183" spans="1:64" x14ac:dyDescent="0.2">
      <c r="A183" s="13" t="str">
        <f t="shared" si="35"/>
        <v>2012Q2</v>
      </c>
      <c r="B183" s="11">
        <f t="shared" si="55"/>
        <v>2012</v>
      </c>
      <c r="C183" s="11" t="s">
        <v>2</v>
      </c>
      <c r="D183" s="44">
        <f>355+394+282</f>
        <v>1031</v>
      </c>
      <c r="E183" s="45">
        <f>1030+1103+946</f>
        <v>3079</v>
      </c>
      <c r="F183" s="87">
        <f t="shared" si="36"/>
        <v>4110</v>
      </c>
      <c r="G183" s="41">
        <f>(2446159+2454962+2466637)/3</f>
        <v>2455919.3333333335</v>
      </c>
      <c r="H183" s="41">
        <f>(2673509+2688302+2698173)/3</f>
        <v>2686661.3333333335</v>
      </c>
      <c r="I183" s="93">
        <f t="shared" si="42"/>
        <v>230742</v>
      </c>
      <c r="J183" s="95">
        <f t="shared" si="61"/>
        <v>0.74840662605969743</v>
      </c>
      <c r="K183" s="95">
        <f t="shared" si="62"/>
        <v>0.68420806655138566</v>
      </c>
      <c r="L183" s="50">
        <f>93+147+93</f>
        <v>333</v>
      </c>
      <c r="M183" s="50">
        <v>0</v>
      </c>
      <c r="N183" s="50">
        <f>224+210+191</f>
        <v>625</v>
      </c>
      <c r="O183" s="50">
        <f>72+86+76</f>
        <v>234</v>
      </c>
      <c r="P183" s="51">
        <f>82+75+195</f>
        <v>352</v>
      </c>
      <c r="Q183" s="98">
        <f t="shared" si="60"/>
        <v>8093</v>
      </c>
      <c r="R183" s="52">
        <f>2483+3012+2461</f>
        <v>7956</v>
      </c>
      <c r="S183" s="45">
        <f>2134+2361+1931</f>
        <v>6426</v>
      </c>
      <c r="T183" s="96">
        <f t="shared" si="56"/>
        <v>79.40195230446065</v>
      </c>
      <c r="U183" s="45">
        <f>576+585+506</f>
        <v>1667</v>
      </c>
      <c r="V183" s="96">
        <f t="shared" si="57"/>
        <v>20.598047695539353</v>
      </c>
      <c r="W183" s="45">
        <v>1973</v>
      </c>
      <c r="X183" s="96">
        <f t="shared" si="50"/>
        <v>24.379093043370816</v>
      </c>
      <c r="Y183" s="96">
        <f t="shared" si="51"/>
        <v>6120</v>
      </c>
      <c r="Z183" s="96">
        <f t="shared" si="52"/>
        <v>75.620906956629184</v>
      </c>
      <c r="AA183" s="52">
        <f>3712+3953+3681</f>
        <v>11346</v>
      </c>
      <c r="AB183" s="45"/>
      <c r="AC183" s="105">
        <f t="shared" si="54"/>
        <v>27395</v>
      </c>
      <c r="AD183" s="48"/>
      <c r="AE183" s="48"/>
      <c r="AF183" s="49">
        <f t="shared" si="64"/>
        <v>0</v>
      </c>
      <c r="AG183" s="38">
        <v>1028</v>
      </c>
      <c r="AH183" s="34">
        <v>3036</v>
      </c>
      <c r="AI183" s="109">
        <f t="shared" si="48"/>
        <v>4064</v>
      </c>
      <c r="AJ183" s="26">
        <v>8195</v>
      </c>
      <c r="AK183" s="26">
        <v>11210</v>
      </c>
      <c r="AL183" s="69" t="s">
        <v>67</v>
      </c>
      <c r="AM183" s="24"/>
      <c r="AN183" s="20">
        <f>78+147+88</f>
        <v>313</v>
      </c>
      <c r="AO183" s="20">
        <f>19+23+12+2+2</f>
        <v>58</v>
      </c>
      <c r="AP183" s="106">
        <f t="shared" si="65"/>
        <v>371</v>
      </c>
      <c r="AQ183" s="20">
        <f>(142985+143658+144504)/3</f>
        <v>143715.66666666666</v>
      </c>
      <c r="AR183" s="20">
        <f>(158372+158835+159483)/3</f>
        <v>158896.66666666666</v>
      </c>
      <c r="AS183" s="118">
        <f t="shared" si="58"/>
        <v>0.97023620631451357</v>
      </c>
      <c r="AT183" s="118">
        <f t="shared" si="59"/>
        <v>0.87076958590353581</v>
      </c>
      <c r="AU183" s="20">
        <f>3+6+3</f>
        <v>12</v>
      </c>
      <c r="AV183" s="20">
        <v>0</v>
      </c>
      <c r="AW183" s="20">
        <f>19+34+14</f>
        <v>67</v>
      </c>
      <c r="AX183" s="22">
        <f>2+4+12</f>
        <v>18</v>
      </c>
      <c r="AY183" s="22">
        <v>3310</v>
      </c>
      <c r="AZ183" s="22">
        <v>1563</v>
      </c>
      <c r="BA183" s="20">
        <v>2291</v>
      </c>
      <c r="BB183" s="106">
        <f t="shared" si="39"/>
        <v>5601</v>
      </c>
      <c r="BC183" s="24"/>
      <c r="BD183" s="50">
        <v>72</v>
      </c>
      <c r="BE183" s="50">
        <f>11+16+11+8</f>
        <v>46</v>
      </c>
      <c r="BF183" s="114">
        <f t="shared" si="40"/>
        <v>118</v>
      </c>
      <c r="BG183" s="72">
        <f>(36405+36637+36821)/3</f>
        <v>36621</v>
      </c>
      <c r="BH183" s="72">
        <f>(39743+39968+40168)/3</f>
        <v>39959.666666666664</v>
      </c>
      <c r="BI183" s="72">
        <v>381</v>
      </c>
      <c r="BJ183" s="72">
        <v>282</v>
      </c>
      <c r="BK183" s="72">
        <v>132</v>
      </c>
      <c r="BL183" s="114">
        <f t="shared" si="63"/>
        <v>795</v>
      </c>
    </row>
    <row r="184" spans="1:64" x14ac:dyDescent="0.2">
      <c r="A184" s="13" t="str">
        <f t="shared" si="35"/>
        <v>2012Q3</v>
      </c>
      <c r="B184" s="11">
        <f t="shared" si="55"/>
        <v>2012</v>
      </c>
      <c r="C184" s="11" t="s">
        <v>3</v>
      </c>
      <c r="D184" s="44">
        <f>474+282+287</f>
        <v>1043</v>
      </c>
      <c r="E184" s="45">
        <f>1038+958+831</f>
        <v>2827</v>
      </c>
      <c r="F184" s="87">
        <f t="shared" si="36"/>
        <v>3870</v>
      </c>
      <c r="G184" s="41">
        <f>(2479972+2493016+2503597)/3</f>
        <v>2492195</v>
      </c>
      <c r="H184" s="41">
        <f>(2717704+2722777+2736557)/3</f>
        <v>2725679.3333333335</v>
      </c>
      <c r="I184" s="93">
        <f t="shared" si="42"/>
        <v>233484.33333333349</v>
      </c>
      <c r="J184" s="95">
        <f t="shared" si="61"/>
        <v>0.72319138552686579</v>
      </c>
      <c r="K184" s="95">
        <f t="shared" si="62"/>
        <v>0.66104033951005792</v>
      </c>
      <c r="L184" s="50">
        <f>96+113+68</f>
        <v>277</v>
      </c>
      <c r="M184" s="50">
        <v>0</v>
      </c>
      <c r="N184" s="50">
        <f>197+170+181</f>
        <v>548</v>
      </c>
      <c r="O184" s="50">
        <f>101+58+83</f>
        <v>242</v>
      </c>
      <c r="P184" s="51">
        <f>58+60+43</f>
        <v>161</v>
      </c>
      <c r="Q184" s="98">
        <f t="shared" si="60"/>
        <v>7642</v>
      </c>
      <c r="R184" s="52">
        <f>2722+2610+2445</f>
        <v>7777</v>
      </c>
      <c r="S184" s="45">
        <f>2203+2000+1843</f>
        <v>6046</v>
      </c>
      <c r="T184" s="96">
        <f t="shared" si="56"/>
        <v>79.11541481287621</v>
      </c>
      <c r="U184" s="45">
        <f>541+558+497</f>
        <v>1596</v>
      </c>
      <c r="V184" s="96">
        <f t="shared" si="57"/>
        <v>20.88458518712379</v>
      </c>
      <c r="W184" s="45">
        <v>1827</v>
      </c>
      <c r="X184" s="96">
        <f t="shared" si="50"/>
        <v>23.907354095786442</v>
      </c>
      <c r="Y184" s="96">
        <f t="shared" si="51"/>
        <v>5815</v>
      </c>
      <c r="Z184" s="96">
        <f t="shared" si="52"/>
        <v>76.092645904213555</v>
      </c>
      <c r="AA184" s="52">
        <f>5422+3614+3632</f>
        <v>12668</v>
      </c>
      <c r="AB184" s="45"/>
      <c r="AC184" s="105">
        <f t="shared" si="54"/>
        <v>28087</v>
      </c>
      <c r="AD184" s="48"/>
      <c r="AE184" s="48"/>
      <c r="AF184" s="49">
        <f t="shared" si="64"/>
        <v>0</v>
      </c>
      <c r="AG184" s="38">
        <v>1078</v>
      </c>
      <c r="AH184" s="34">
        <v>2876</v>
      </c>
      <c r="AI184" s="109">
        <f t="shared" si="48"/>
        <v>3954</v>
      </c>
      <c r="AJ184" s="26">
        <v>7714</v>
      </c>
      <c r="AK184" s="26">
        <v>12131</v>
      </c>
      <c r="AL184" s="69" t="s">
        <v>67</v>
      </c>
      <c r="AM184" s="24"/>
      <c r="AN184" s="20">
        <f>75+66+63</f>
        <v>204</v>
      </c>
      <c r="AO184" s="20">
        <f>1+28+5+27+7+10</f>
        <v>78</v>
      </c>
      <c r="AP184" s="106">
        <f t="shared" si="65"/>
        <v>282</v>
      </c>
      <c r="AQ184" s="20">
        <f>(144924+145659+146505)/3</f>
        <v>145696</v>
      </c>
      <c r="AR184" s="20">
        <f>(160075+160891+161544)/3</f>
        <v>160836.66666666666</v>
      </c>
      <c r="AS184" s="118">
        <f t="shared" si="58"/>
        <v>0.92834620749475472</v>
      </c>
      <c r="AT184" s="118">
        <f t="shared" si="59"/>
        <v>0.83707657348200615</v>
      </c>
      <c r="AU184" s="20">
        <f>0+3+2</f>
        <v>5</v>
      </c>
      <c r="AV184" s="20">
        <v>0</v>
      </c>
      <c r="AW184" s="20">
        <f>8+13+12</f>
        <v>33</v>
      </c>
      <c r="AX184" s="22">
        <f>2+0+0</f>
        <v>2</v>
      </c>
      <c r="AY184" s="22">
        <v>1861</v>
      </c>
      <c r="AZ184" s="22">
        <v>653</v>
      </c>
      <c r="BA184" s="20">
        <v>2204</v>
      </c>
      <c r="BB184" s="106">
        <f t="shared" si="39"/>
        <v>4065</v>
      </c>
      <c r="BC184" s="24"/>
      <c r="BD184" s="50">
        <v>60</v>
      </c>
      <c r="BE184" s="50">
        <f>1+12+1+13+1+7</f>
        <v>35</v>
      </c>
      <c r="BF184" s="114">
        <f t="shared" si="40"/>
        <v>95</v>
      </c>
      <c r="BG184" s="72">
        <f>(37037+37202+37445)/3</f>
        <v>37228</v>
      </c>
      <c r="BH184" s="72">
        <f>(40366+40538+40777)/3</f>
        <v>40560.333333333336</v>
      </c>
      <c r="BI184" s="72">
        <v>307</v>
      </c>
      <c r="BJ184" s="72">
        <v>393</v>
      </c>
      <c r="BK184" s="72">
        <v>144</v>
      </c>
      <c r="BL184" s="114">
        <f t="shared" si="63"/>
        <v>844</v>
      </c>
    </row>
    <row r="185" spans="1:64" x14ac:dyDescent="0.2">
      <c r="A185" s="13" t="str">
        <f t="shared" si="35"/>
        <v>2012Q4</v>
      </c>
      <c r="B185" s="11">
        <f t="shared" si="55"/>
        <v>2012</v>
      </c>
      <c r="C185" s="11" t="s">
        <v>4</v>
      </c>
      <c r="D185" s="44">
        <f>372+336+246</f>
        <v>954</v>
      </c>
      <c r="E185" s="45">
        <f>964+944+832</f>
        <v>2740</v>
      </c>
      <c r="F185" s="87">
        <f t="shared" si="36"/>
        <v>3694</v>
      </c>
      <c r="G185" s="41">
        <f>(2520743+2531221+2543354)/3</f>
        <v>2531772.6666666665</v>
      </c>
      <c r="H185" s="41">
        <f>(2751989+2769575+2789416)/3</f>
        <v>2770326.6666666665</v>
      </c>
      <c r="I185" s="93">
        <f t="shared" si="42"/>
        <v>238554</v>
      </c>
      <c r="J185" s="95">
        <f t="shared" si="61"/>
        <v>0.69400020940242502</v>
      </c>
      <c r="K185" s="95">
        <f t="shared" si="62"/>
        <v>0.63434166153690719</v>
      </c>
      <c r="L185" s="50">
        <f>117+101+58</f>
        <v>276</v>
      </c>
      <c r="M185" s="50">
        <v>0</v>
      </c>
      <c r="N185" s="50">
        <f>192+226+162</f>
        <v>580</v>
      </c>
      <c r="O185" s="50">
        <f>114+102+67</f>
        <v>283</v>
      </c>
      <c r="P185" s="51">
        <f>60+43+48</f>
        <v>151</v>
      </c>
      <c r="Q185" s="98">
        <f t="shared" si="60"/>
        <v>6921</v>
      </c>
      <c r="R185" s="52">
        <f>2825+2682+2042</f>
        <v>7549</v>
      </c>
      <c r="S185" s="45">
        <f>2100+2034+1353</f>
        <v>5487</v>
      </c>
      <c r="T185" s="96">
        <f t="shared" si="56"/>
        <v>79.28045080190725</v>
      </c>
      <c r="U185" s="45">
        <f>576+479+379</f>
        <v>1434</v>
      </c>
      <c r="V185" s="96">
        <f t="shared" si="57"/>
        <v>20.719549198092761</v>
      </c>
      <c r="W185" s="45">
        <v>1710</v>
      </c>
      <c r="X185" s="96">
        <f t="shared" si="50"/>
        <v>24.707412223667099</v>
      </c>
      <c r="Y185" s="96">
        <f t="shared" si="51"/>
        <v>5211</v>
      </c>
      <c r="Z185" s="96">
        <f t="shared" si="52"/>
        <v>75.292587776332894</v>
      </c>
      <c r="AA185" s="52">
        <f>3736+3510+3740</f>
        <v>10986</v>
      </c>
      <c r="AB185" s="45"/>
      <c r="AC185" s="105">
        <f t="shared" si="54"/>
        <v>25456</v>
      </c>
      <c r="AD185" s="48"/>
      <c r="AE185" s="48"/>
      <c r="AF185" s="49">
        <f t="shared" si="64"/>
        <v>0</v>
      </c>
      <c r="AG185" s="38">
        <v>933</v>
      </c>
      <c r="AH185" s="34">
        <v>2890</v>
      </c>
      <c r="AI185" s="109">
        <f t="shared" si="48"/>
        <v>3823</v>
      </c>
      <c r="AJ185" s="26">
        <v>7274</v>
      </c>
      <c r="AK185" s="26">
        <v>10798</v>
      </c>
      <c r="AL185" s="69" t="s">
        <v>67</v>
      </c>
      <c r="AM185" s="24"/>
      <c r="AN185" s="20">
        <f>40+34+24</f>
        <v>98</v>
      </c>
      <c r="AO185" s="20">
        <f>2+2+0+29+24+14</f>
        <v>71</v>
      </c>
      <c r="AP185" s="106">
        <f t="shared" si="65"/>
        <v>169</v>
      </c>
      <c r="AQ185" s="20">
        <f>(147452+148162+148461)/3</f>
        <v>148025</v>
      </c>
      <c r="AR185" s="20">
        <f>(162575+163219+163765)/3</f>
        <v>163186.33333333334</v>
      </c>
      <c r="AS185" s="118">
        <f t="shared" si="58"/>
        <v>0.82958507484889255</v>
      </c>
      <c r="AT185" s="118">
        <f t="shared" si="59"/>
        <v>0.75049683641693565</v>
      </c>
      <c r="AU185" s="20">
        <f>1+6+1</f>
        <v>8</v>
      </c>
      <c r="AV185" s="20">
        <v>0</v>
      </c>
      <c r="AW185" s="20">
        <f>15+13+16</f>
        <v>44</v>
      </c>
      <c r="AX185" s="22">
        <f>0+2+2</f>
        <v>4</v>
      </c>
      <c r="AY185" s="22">
        <v>1833</v>
      </c>
      <c r="AZ185" s="22">
        <v>607</v>
      </c>
      <c r="BA185" s="20">
        <v>2030</v>
      </c>
      <c r="BB185" s="106">
        <f t="shared" si="39"/>
        <v>3863</v>
      </c>
      <c r="BC185" s="24"/>
      <c r="BD185" s="50">
        <v>48</v>
      </c>
      <c r="BE185" s="50">
        <f>0+1+2+18+8+9</f>
        <v>38</v>
      </c>
      <c r="BF185" s="114">
        <f t="shared" si="40"/>
        <v>86</v>
      </c>
      <c r="BG185" s="72">
        <f>(37765+37900+37983)/3</f>
        <v>37882.666666666664</v>
      </c>
      <c r="BH185" s="72">
        <f>(41087+41352+41536)/3</f>
        <v>41325</v>
      </c>
      <c r="BI185" s="72">
        <v>359</v>
      </c>
      <c r="BJ185" s="72">
        <v>280</v>
      </c>
      <c r="BK185" s="72">
        <v>117</v>
      </c>
      <c r="BL185" s="114">
        <f t="shared" si="63"/>
        <v>756</v>
      </c>
    </row>
    <row r="186" spans="1:64" x14ac:dyDescent="0.2">
      <c r="A186" s="13" t="str">
        <f t="shared" si="35"/>
        <v>2013Q1</v>
      </c>
      <c r="B186" s="11">
        <f t="shared" si="55"/>
        <v>2013</v>
      </c>
      <c r="C186" s="11" t="s">
        <v>1</v>
      </c>
      <c r="D186" s="44">
        <f>388+284+301</f>
        <v>973</v>
      </c>
      <c r="E186" s="45">
        <f>745+1065+898</f>
        <v>2708</v>
      </c>
      <c r="F186" s="87">
        <f t="shared" si="36"/>
        <v>3681</v>
      </c>
      <c r="G186" s="41">
        <f>(2558273+2563670+2588306)/3</f>
        <v>2570083</v>
      </c>
      <c r="H186" s="41">
        <f>(2794786+2815959+2835874)/3</f>
        <v>2815539.6666666665</v>
      </c>
      <c r="I186" s="93">
        <f t="shared" si="42"/>
        <v>245456.66666666651</v>
      </c>
      <c r="J186" s="95">
        <f t="shared" si="61"/>
        <v>0.6520616479452177</v>
      </c>
      <c r="K186" s="95">
        <f t="shared" si="62"/>
        <v>0.59584257688548681</v>
      </c>
      <c r="L186" s="50">
        <f>62+85+89</f>
        <v>236</v>
      </c>
      <c r="M186" s="50">
        <v>0</v>
      </c>
      <c r="N186" s="50">
        <f>165+196+196</f>
        <v>557</v>
      </c>
      <c r="O186" s="50">
        <f>105+98+66</f>
        <v>269</v>
      </c>
      <c r="P186" s="51">
        <f>54+51+37</f>
        <v>142</v>
      </c>
      <c r="Q186" s="98">
        <f t="shared" si="60"/>
        <v>6673</v>
      </c>
      <c r="R186" s="52">
        <f>2102+2575+2542</f>
        <v>7219</v>
      </c>
      <c r="S186" s="45">
        <f>1650+1948+1782</f>
        <v>5380</v>
      </c>
      <c r="T186" s="96">
        <f t="shared" si="56"/>
        <v>80.623407762625504</v>
      </c>
      <c r="U186" s="45">
        <f>512+354+427</f>
        <v>1293</v>
      </c>
      <c r="V186" s="96">
        <f t="shared" si="57"/>
        <v>19.376592237374492</v>
      </c>
      <c r="W186" s="45">
        <v>1682</v>
      </c>
      <c r="X186" s="96">
        <f t="shared" si="50"/>
        <v>25.20605424846396</v>
      </c>
      <c r="Y186" s="96">
        <f t="shared" si="51"/>
        <v>4991</v>
      </c>
      <c r="Z186" s="96">
        <f t="shared" si="52"/>
        <v>74.793945751536043</v>
      </c>
      <c r="AA186" s="52">
        <f>3860+2865+4399</f>
        <v>11124</v>
      </c>
      <c r="AB186" s="45"/>
      <c r="AC186" s="105">
        <f t="shared" si="54"/>
        <v>25016</v>
      </c>
      <c r="AD186" s="48"/>
      <c r="AE186" s="48"/>
      <c r="AF186" s="49">
        <f t="shared" si="64"/>
        <v>0</v>
      </c>
      <c r="AG186" s="38">
        <v>1028.83399058485</v>
      </c>
      <c r="AH186" s="34">
        <v>2572.4194415021898</v>
      </c>
      <c r="AI186" s="109">
        <f t="shared" si="48"/>
        <v>3601.25343208704</v>
      </c>
      <c r="AJ186" s="26">
        <v>6629.7460956043196</v>
      </c>
      <c r="AK186" s="26">
        <v>11982.7209770503</v>
      </c>
      <c r="AL186" s="69" t="s">
        <v>67</v>
      </c>
      <c r="AM186" s="24"/>
      <c r="AN186" s="20">
        <f>23+14+22</f>
        <v>59</v>
      </c>
      <c r="AO186" s="20">
        <f>0+12+0+19+5+18</f>
        <v>54</v>
      </c>
      <c r="AP186" s="106">
        <f t="shared" si="65"/>
        <v>113</v>
      </c>
      <c r="AQ186" s="20">
        <f>(149593+149667+151248)/3</f>
        <v>150169.33333333334</v>
      </c>
      <c r="AR186" s="20">
        <f>(164236+165192+166506)/3</f>
        <v>165311.33333333334</v>
      </c>
      <c r="AS186" s="118">
        <f t="shared" si="58"/>
        <v>0.63648090727460238</v>
      </c>
      <c r="AT186" s="118">
        <f t="shared" si="59"/>
        <v>0.57695482011813681</v>
      </c>
      <c r="AU186" s="20">
        <f>2+2+3</f>
        <v>7</v>
      </c>
      <c r="AV186" s="20">
        <f>0</f>
        <v>0</v>
      </c>
      <c r="AW186" s="20">
        <f>13+17+12</f>
        <v>42</v>
      </c>
      <c r="AX186" s="22">
        <f>1+1+0</f>
        <v>2</v>
      </c>
      <c r="AY186" s="22">
        <v>1834</v>
      </c>
      <c r="AZ186" s="22">
        <v>658</v>
      </c>
      <c r="BA186" s="20">
        <v>1652</v>
      </c>
      <c r="BB186" s="106">
        <f t="shared" si="39"/>
        <v>3486</v>
      </c>
      <c r="BC186" s="24"/>
      <c r="BD186" s="50">
        <v>30</v>
      </c>
      <c r="BE186" s="50">
        <f>0+10+2+4+1+8</f>
        <v>25</v>
      </c>
      <c r="BF186" s="114">
        <f t="shared" si="40"/>
        <v>55</v>
      </c>
      <c r="BG186" s="72">
        <f>(38284+38447+38778)/3</f>
        <v>38503</v>
      </c>
      <c r="BH186" s="72">
        <f>(41763+42006+42338)/3</f>
        <v>42035.666666666664</v>
      </c>
      <c r="BI186" s="72">
        <v>328</v>
      </c>
      <c r="BJ186" s="72">
        <v>389</v>
      </c>
      <c r="BK186" s="72">
        <v>119</v>
      </c>
      <c r="BL186" s="114">
        <f t="shared" si="63"/>
        <v>836</v>
      </c>
    </row>
    <row r="187" spans="1:64" x14ac:dyDescent="0.2">
      <c r="A187" s="13" t="str">
        <f t="shared" si="35"/>
        <v>2013Q2</v>
      </c>
      <c r="B187" s="11">
        <f t="shared" si="55"/>
        <v>2013</v>
      </c>
      <c r="C187" s="11" t="s">
        <v>2</v>
      </c>
      <c r="D187" s="44">
        <f>375+291+369</f>
        <v>1035</v>
      </c>
      <c r="E187" s="45">
        <f>993+1091+1010</f>
        <v>3094</v>
      </c>
      <c r="F187" s="87">
        <f t="shared" si="36"/>
        <v>4129</v>
      </c>
      <c r="G187" s="41">
        <f>(2588306+2617775+2628279)/3</f>
        <v>2611453.3333333335</v>
      </c>
      <c r="H187" s="41">
        <f>(2835874+2876746+2890111)/3</f>
        <v>2867577</v>
      </c>
      <c r="I187" s="93">
        <f t="shared" si="42"/>
        <v>256123.66666666651</v>
      </c>
      <c r="J187" s="95">
        <f t="shared" si="61"/>
        <v>0.64329992913627787</v>
      </c>
      <c r="K187" s="95">
        <f t="shared" si="62"/>
        <v>0.58727327678188701</v>
      </c>
      <c r="L187" s="50">
        <f>40+66+86</f>
        <v>192</v>
      </c>
      <c r="M187" s="50">
        <v>0</v>
      </c>
      <c r="N187" s="50">
        <f>218+189+215</f>
        <v>622</v>
      </c>
      <c r="O187" s="50">
        <f>83+79+83</f>
        <v>245</v>
      </c>
      <c r="P187" s="51">
        <f>47+47+66</f>
        <v>160</v>
      </c>
      <c r="Q187" s="98">
        <f t="shared" si="60"/>
        <v>6469</v>
      </c>
      <c r="R187" s="52">
        <f>2423+2530+2179</f>
        <v>7132</v>
      </c>
      <c r="S187" s="45">
        <f>1858+1696+1518</f>
        <v>5072</v>
      </c>
      <c r="T187" s="96">
        <f t="shared" si="56"/>
        <v>78.404699335291397</v>
      </c>
      <c r="U187" s="45">
        <f>465+449+483</f>
        <v>1397</v>
      </c>
      <c r="V187" s="96">
        <f t="shared" si="57"/>
        <v>21.59530066470861</v>
      </c>
      <c r="W187" s="45"/>
      <c r="X187" s="96">
        <f t="shared" si="50"/>
        <v>0</v>
      </c>
      <c r="Y187" s="96"/>
      <c r="Z187" s="96">
        <f t="shared" si="52"/>
        <v>0</v>
      </c>
      <c r="AA187" s="52">
        <f>4256+3647+4213</f>
        <v>12116</v>
      </c>
      <c r="AB187" s="45"/>
      <c r="AC187" s="105">
        <f t="shared" si="54"/>
        <v>25717</v>
      </c>
      <c r="AD187" s="48"/>
      <c r="AE187" s="48"/>
      <c r="AF187" s="49">
        <f t="shared" si="64"/>
        <v>0</v>
      </c>
      <c r="AG187" s="38">
        <v>961.00455272397801</v>
      </c>
      <c r="AH187" s="34">
        <v>3016.8984780829301</v>
      </c>
      <c r="AI187" s="109">
        <f t="shared" si="48"/>
        <v>3977.9030308069082</v>
      </c>
      <c r="AJ187" s="26">
        <v>6191.7959128950997</v>
      </c>
      <c r="AK187" s="26">
        <v>12023.056983786801</v>
      </c>
      <c r="AL187" s="69">
        <f t="shared" ref="AL187:AL218" si="66">AJ187+AK187</f>
        <v>18214.852896681899</v>
      </c>
      <c r="AM187" s="24"/>
      <c r="AN187" s="20">
        <f>33+33+17</f>
        <v>83</v>
      </c>
      <c r="AO187" s="20">
        <f>1+25+3+30+1+15</f>
        <v>75</v>
      </c>
      <c r="AP187" s="106">
        <f t="shared" si="65"/>
        <v>158</v>
      </c>
      <c r="AQ187" s="20">
        <f>(151248+152796+153788)/3</f>
        <v>152610.66666666666</v>
      </c>
      <c r="AR187" s="20">
        <f>(166506+168659+169545)/3</f>
        <v>168236.66666666666</v>
      </c>
      <c r="AS187" s="118">
        <f t="shared" si="58"/>
        <v>0.48415677425519821</v>
      </c>
      <c r="AT187" s="118">
        <f t="shared" si="59"/>
        <v>0.4391921176572568</v>
      </c>
      <c r="AU187" s="20">
        <f>1+0+0</f>
        <v>1</v>
      </c>
      <c r="AV187" s="20">
        <v>0</v>
      </c>
      <c r="AW187" s="20">
        <f>9+13+13</f>
        <v>35</v>
      </c>
      <c r="AX187" s="22">
        <f>1+1+1</f>
        <v>3</v>
      </c>
      <c r="AY187" s="22">
        <v>1961</v>
      </c>
      <c r="AZ187" s="22">
        <v>742</v>
      </c>
      <c r="BA187" s="20">
        <v>2038</v>
      </c>
      <c r="BB187" s="106">
        <f t="shared" si="39"/>
        <v>3999</v>
      </c>
      <c r="BC187" s="24"/>
      <c r="BD187" s="50">
        <v>66</v>
      </c>
      <c r="BE187" s="50">
        <f>2+12+2+13+5+5</f>
        <v>39</v>
      </c>
      <c r="BF187" s="114">
        <f t="shared" si="40"/>
        <v>105</v>
      </c>
      <c r="BG187" s="72">
        <f>(38778+39199+39411)/3</f>
        <v>39129.333333333336</v>
      </c>
      <c r="BH187" s="72">
        <f>(42338+42910+43146)/3</f>
        <v>42798</v>
      </c>
      <c r="BI187" s="72">
        <v>374</v>
      </c>
      <c r="BJ187" s="72">
        <v>353</v>
      </c>
      <c r="BK187" s="72">
        <v>167</v>
      </c>
      <c r="BL187" s="114">
        <f t="shared" si="63"/>
        <v>894</v>
      </c>
    </row>
    <row r="188" spans="1:64" x14ac:dyDescent="0.2">
      <c r="A188" s="13" t="str">
        <f t="shared" si="35"/>
        <v>2013Q3</v>
      </c>
      <c r="B188" s="11">
        <f t="shared" si="55"/>
        <v>2013</v>
      </c>
      <c r="C188" s="11" t="s">
        <v>3</v>
      </c>
      <c r="D188" s="44"/>
      <c r="E188" s="45"/>
      <c r="F188" s="87">
        <f t="shared" si="36"/>
        <v>0</v>
      </c>
      <c r="G188" s="41"/>
      <c r="H188" s="41"/>
      <c r="I188" s="93">
        <f t="shared" si="42"/>
        <v>0</v>
      </c>
      <c r="J188" s="95">
        <f t="shared" si="61"/>
        <v>0.47843279713025882</v>
      </c>
      <c r="K188" s="95">
        <f t="shared" si="62"/>
        <v>0.43654400396209359</v>
      </c>
      <c r="L188" s="50"/>
      <c r="M188" s="50"/>
      <c r="N188" s="50"/>
      <c r="O188" s="50"/>
      <c r="P188" s="51"/>
      <c r="Q188" s="98"/>
      <c r="R188" s="52"/>
      <c r="S188" s="45"/>
      <c r="T188" s="96" t="e">
        <f t="shared" si="56"/>
        <v>#DIV/0!</v>
      </c>
      <c r="U188" s="45"/>
      <c r="V188" s="96" t="e">
        <f t="shared" si="57"/>
        <v>#DIV/0!</v>
      </c>
      <c r="W188" s="45"/>
      <c r="X188" s="96" t="e">
        <f t="shared" si="50"/>
        <v>#DIV/0!</v>
      </c>
      <c r="Y188" s="96"/>
      <c r="Z188" s="96" t="e">
        <f t="shared" si="52"/>
        <v>#DIV/0!</v>
      </c>
      <c r="AA188" s="52"/>
      <c r="AB188" s="45"/>
      <c r="AC188" s="105">
        <f t="shared" si="54"/>
        <v>0</v>
      </c>
      <c r="AD188" s="48"/>
      <c r="AE188" s="48"/>
      <c r="AF188" s="49">
        <f t="shared" si="64"/>
        <v>0</v>
      </c>
      <c r="AG188" s="38"/>
      <c r="AH188" s="34"/>
      <c r="AI188" s="109">
        <f t="shared" si="48"/>
        <v>0</v>
      </c>
      <c r="AJ188" s="26"/>
      <c r="AK188" s="26"/>
      <c r="AL188" s="69">
        <f t="shared" si="66"/>
        <v>0</v>
      </c>
      <c r="AM188" s="24"/>
      <c r="AN188" s="20"/>
      <c r="AO188" s="20"/>
      <c r="AP188" s="106">
        <f t="shared" si="65"/>
        <v>0</v>
      </c>
      <c r="AQ188" s="20"/>
      <c r="AR188" s="20"/>
      <c r="AS188" s="118">
        <f t="shared" si="58"/>
        <v>0.39041270615898227</v>
      </c>
      <c r="AT188" s="118">
        <f t="shared" si="59"/>
        <v>0.35431414377772691</v>
      </c>
      <c r="AU188" s="20"/>
      <c r="AV188" s="20"/>
      <c r="AW188" s="20"/>
      <c r="AX188" s="22"/>
      <c r="AY188" s="22"/>
      <c r="AZ188" s="22"/>
      <c r="BA188" s="20"/>
      <c r="BB188" s="106">
        <f t="shared" si="39"/>
        <v>0</v>
      </c>
      <c r="BC188" s="24"/>
      <c r="BD188" s="50"/>
      <c r="BE188" s="50"/>
      <c r="BF188" s="114">
        <f t="shared" si="40"/>
        <v>0</v>
      </c>
      <c r="BG188" s="72"/>
      <c r="BH188" s="72"/>
      <c r="BI188" s="72"/>
      <c r="BJ188" s="72"/>
      <c r="BK188" s="72"/>
      <c r="BL188" s="114">
        <f t="shared" si="63"/>
        <v>0</v>
      </c>
    </row>
    <row r="189" spans="1:64" x14ac:dyDescent="0.2">
      <c r="A189" s="13" t="str">
        <f t="shared" si="35"/>
        <v>2013Q4</v>
      </c>
      <c r="B189" s="11">
        <f t="shared" si="55"/>
        <v>2013</v>
      </c>
      <c r="C189" s="11" t="s">
        <v>4</v>
      </c>
      <c r="D189" s="44"/>
      <c r="E189" s="45"/>
      <c r="F189" s="87">
        <f t="shared" si="36"/>
        <v>0</v>
      </c>
      <c r="G189" s="41"/>
      <c r="H189" s="41"/>
      <c r="I189" s="93">
        <f t="shared" si="42"/>
        <v>0</v>
      </c>
      <c r="J189" s="95">
        <f t="shared" si="61"/>
        <v>0.32129466878195517</v>
      </c>
      <c r="K189" s="95">
        <f t="shared" si="62"/>
        <v>0.29293785393578059</v>
      </c>
      <c r="L189" s="50"/>
      <c r="M189" s="50"/>
      <c r="N189" s="50"/>
      <c r="O189" s="50"/>
      <c r="P189" s="51"/>
      <c r="Q189" s="98"/>
      <c r="R189" s="52"/>
      <c r="S189" s="45"/>
      <c r="T189" s="96" t="e">
        <f t="shared" si="56"/>
        <v>#DIV/0!</v>
      </c>
      <c r="U189" s="45"/>
      <c r="V189" s="96" t="e">
        <f t="shared" si="57"/>
        <v>#DIV/0!</v>
      </c>
      <c r="W189" s="45"/>
      <c r="X189" s="96" t="e">
        <f t="shared" si="50"/>
        <v>#DIV/0!</v>
      </c>
      <c r="Y189" s="96"/>
      <c r="Z189" s="96" t="e">
        <f t="shared" si="52"/>
        <v>#DIV/0!</v>
      </c>
      <c r="AA189" s="52"/>
      <c r="AB189" s="45"/>
      <c r="AC189" s="105">
        <f t="shared" si="54"/>
        <v>0</v>
      </c>
      <c r="AD189" s="48"/>
      <c r="AE189" s="48"/>
      <c r="AF189" s="49">
        <f t="shared" si="64"/>
        <v>0</v>
      </c>
      <c r="AG189" s="38"/>
      <c r="AH189" s="34"/>
      <c r="AI189" s="109">
        <f t="shared" si="48"/>
        <v>0</v>
      </c>
      <c r="AJ189" s="26"/>
      <c r="AK189" s="26"/>
      <c r="AL189" s="69">
        <f t="shared" si="66"/>
        <v>0</v>
      </c>
      <c r="AM189" s="24"/>
      <c r="AN189" s="20"/>
      <c r="AO189" s="20"/>
      <c r="AP189" s="106">
        <f t="shared" si="65"/>
        <v>0</v>
      </c>
      <c r="AQ189" s="20"/>
      <c r="AR189" s="20"/>
      <c r="AS189" s="118">
        <f t="shared" si="58"/>
        <v>0.35801572098553408</v>
      </c>
      <c r="AT189" s="118">
        <f t="shared" si="59"/>
        <v>0.32499070598534546</v>
      </c>
      <c r="AU189" s="20"/>
      <c r="AV189" s="20"/>
      <c r="AW189" s="20"/>
      <c r="AX189" s="22"/>
      <c r="AY189" s="22"/>
      <c r="AZ189" s="22"/>
      <c r="BA189" s="20"/>
      <c r="BB189" s="106">
        <f t="shared" si="39"/>
        <v>0</v>
      </c>
      <c r="BC189" s="24"/>
      <c r="BD189" s="50"/>
      <c r="BE189" s="50"/>
      <c r="BF189" s="114">
        <f t="shared" si="40"/>
        <v>0</v>
      </c>
      <c r="BG189" s="72"/>
      <c r="BH189" s="72"/>
      <c r="BI189" s="72"/>
      <c r="BJ189" s="72"/>
      <c r="BK189" s="72"/>
      <c r="BL189" s="114">
        <f t="shared" si="63"/>
        <v>0</v>
      </c>
    </row>
    <row r="190" spans="1:64" x14ac:dyDescent="0.2">
      <c r="A190" s="13" t="str">
        <f t="shared" si="35"/>
        <v>2014Q1</v>
      </c>
      <c r="B190" s="11">
        <f t="shared" si="55"/>
        <v>2014</v>
      </c>
      <c r="C190" s="11" t="s">
        <v>1</v>
      </c>
      <c r="D190" s="44"/>
      <c r="E190" s="45"/>
      <c r="F190" s="87">
        <f t="shared" si="36"/>
        <v>0</v>
      </c>
      <c r="G190" s="41"/>
      <c r="H190" s="41"/>
      <c r="I190" s="93">
        <f t="shared" si="42"/>
        <v>0</v>
      </c>
      <c r="J190" s="95">
        <f t="shared" si="61"/>
        <v>0.16749294135066553</v>
      </c>
      <c r="K190" s="95">
        <f t="shared" si="62"/>
        <v>0.15253295726670985</v>
      </c>
      <c r="L190" s="50"/>
      <c r="M190" s="50"/>
      <c r="N190" s="50"/>
      <c r="O190" s="50"/>
      <c r="P190" s="51"/>
      <c r="Q190" s="98"/>
      <c r="R190" s="52"/>
      <c r="S190" s="45"/>
      <c r="T190" s="96" t="e">
        <f t="shared" si="56"/>
        <v>#DIV/0!</v>
      </c>
      <c r="U190" s="45"/>
      <c r="V190" s="96" t="e">
        <f t="shared" si="57"/>
        <v>#DIV/0!</v>
      </c>
      <c r="W190" s="45"/>
      <c r="X190" s="96" t="e">
        <f t="shared" si="50"/>
        <v>#DIV/0!</v>
      </c>
      <c r="Y190" s="96"/>
      <c r="Z190" s="96" t="e">
        <f t="shared" si="52"/>
        <v>#DIV/0!</v>
      </c>
      <c r="AA190" s="52"/>
      <c r="AB190" s="45"/>
      <c r="AC190" s="105">
        <f t="shared" si="54"/>
        <v>0</v>
      </c>
      <c r="AD190" s="48"/>
      <c r="AE190" s="48"/>
      <c r="AF190" s="49">
        <f t="shared" si="64"/>
        <v>0</v>
      </c>
      <c r="AG190" s="38"/>
      <c r="AH190" s="34"/>
      <c r="AI190" s="109">
        <f t="shared" ref="AI190:AI221" si="67">AG190+AH190</f>
        <v>0</v>
      </c>
      <c r="AJ190" s="26"/>
      <c r="AK190" s="26"/>
      <c r="AL190" s="69">
        <f t="shared" si="66"/>
        <v>0</v>
      </c>
      <c r="AM190" s="24"/>
      <c r="AN190" s="20"/>
      <c r="AO190" s="20"/>
      <c r="AP190" s="106">
        <f t="shared" si="65"/>
        <v>0</v>
      </c>
      <c r="AQ190" s="20"/>
      <c r="AR190" s="20"/>
      <c r="AS190" s="118">
        <f t="shared" si="58"/>
        <v>0.41412570549896038</v>
      </c>
      <c r="AT190" s="118">
        <f t="shared" si="59"/>
        <v>0.37566127082879275</v>
      </c>
      <c r="AU190" s="20"/>
      <c r="AV190" s="20"/>
      <c r="AW190" s="20"/>
      <c r="AX190" s="22"/>
      <c r="AY190" s="22"/>
      <c r="AZ190" s="22"/>
      <c r="BA190" s="20"/>
      <c r="BB190" s="106">
        <f t="shared" si="39"/>
        <v>0</v>
      </c>
      <c r="BC190" s="24"/>
      <c r="BD190" s="50"/>
      <c r="BE190" s="50"/>
      <c r="BF190" s="114">
        <f t="shared" si="40"/>
        <v>0</v>
      </c>
      <c r="BG190" s="72"/>
      <c r="BH190" s="72"/>
      <c r="BI190" s="72"/>
      <c r="BJ190" s="72"/>
      <c r="BK190" s="72"/>
      <c r="BL190" s="114">
        <f t="shared" si="63"/>
        <v>0</v>
      </c>
    </row>
    <row r="191" spans="1:64" x14ac:dyDescent="0.2">
      <c r="A191" s="13" t="str">
        <f t="shared" si="35"/>
        <v>2014Q2</v>
      </c>
      <c r="B191" s="11">
        <f t="shared" si="55"/>
        <v>2014</v>
      </c>
      <c r="C191" s="11" t="s">
        <v>2</v>
      </c>
      <c r="D191" s="44"/>
      <c r="E191" s="45"/>
      <c r="F191" s="87">
        <f t="shared" si="36"/>
        <v>0</v>
      </c>
      <c r="G191" s="41"/>
      <c r="H191" s="41"/>
      <c r="I191" s="93">
        <f t="shared" si="42"/>
        <v>0</v>
      </c>
      <c r="J191" s="95" t="e">
        <f t="shared" si="61"/>
        <v>#DIV/0!</v>
      </c>
      <c r="K191" s="95" t="e">
        <f t="shared" si="62"/>
        <v>#DIV/0!</v>
      </c>
      <c r="L191" s="50"/>
      <c r="M191" s="50"/>
      <c r="N191" s="50"/>
      <c r="O191" s="50"/>
      <c r="P191" s="51"/>
      <c r="Q191" s="98"/>
      <c r="R191" s="52"/>
      <c r="S191" s="45"/>
      <c r="T191" s="96" t="e">
        <f t="shared" si="56"/>
        <v>#DIV/0!</v>
      </c>
      <c r="U191" s="45"/>
      <c r="V191" s="96" t="e">
        <f t="shared" si="57"/>
        <v>#DIV/0!</v>
      </c>
      <c r="W191" s="45"/>
      <c r="X191" s="96" t="e">
        <f t="shared" si="50"/>
        <v>#DIV/0!</v>
      </c>
      <c r="Y191" s="96"/>
      <c r="Z191" s="96" t="e">
        <f t="shared" si="52"/>
        <v>#DIV/0!</v>
      </c>
      <c r="AA191" s="52"/>
      <c r="AB191" s="45"/>
      <c r="AC191" s="105">
        <f t="shared" si="54"/>
        <v>0</v>
      </c>
      <c r="AD191" s="48"/>
      <c r="AE191" s="48"/>
      <c r="AF191" s="49">
        <f t="shared" si="64"/>
        <v>0</v>
      </c>
      <c r="AG191" s="38"/>
      <c r="AH191" s="34"/>
      <c r="AI191" s="109">
        <f t="shared" si="67"/>
        <v>0</v>
      </c>
      <c r="AJ191" s="26"/>
      <c r="AK191" s="26"/>
      <c r="AL191" s="69">
        <f t="shared" si="66"/>
        <v>0</v>
      </c>
      <c r="AM191" s="24"/>
      <c r="AN191" s="20"/>
      <c r="AO191" s="20"/>
      <c r="AP191" s="106">
        <f t="shared" si="65"/>
        <v>0</v>
      </c>
      <c r="AQ191" s="20"/>
      <c r="AR191" s="20"/>
      <c r="AS191" s="118" t="e">
        <f t="shared" si="58"/>
        <v>#DIV/0!</v>
      </c>
      <c r="AT191" s="118" t="e">
        <f t="shared" si="59"/>
        <v>#DIV/0!</v>
      </c>
      <c r="AU191" s="20"/>
      <c r="AV191" s="20"/>
      <c r="AW191" s="20"/>
      <c r="AX191" s="22"/>
      <c r="AY191" s="22"/>
      <c r="AZ191" s="22"/>
      <c r="BA191" s="20"/>
      <c r="BB191" s="106">
        <f t="shared" si="39"/>
        <v>0</v>
      </c>
      <c r="BC191" s="24"/>
      <c r="BD191" s="50"/>
      <c r="BE191" s="50"/>
      <c r="BF191" s="114">
        <f t="shared" si="40"/>
        <v>0</v>
      </c>
      <c r="BG191" s="72"/>
      <c r="BH191" s="72"/>
      <c r="BI191" s="72"/>
      <c r="BJ191" s="72"/>
      <c r="BK191" s="72"/>
      <c r="BL191" s="114">
        <f t="shared" si="63"/>
        <v>0</v>
      </c>
    </row>
    <row r="192" spans="1:64" x14ac:dyDescent="0.2">
      <c r="A192" s="13" t="str">
        <f t="shared" si="35"/>
        <v>2014Q3</v>
      </c>
      <c r="B192" s="11">
        <f t="shared" si="55"/>
        <v>2014</v>
      </c>
      <c r="C192" s="11" t="s">
        <v>3</v>
      </c>
      <c r="D192" s="44"/>
      <c r="E192" s="45"/>
      <c r="F192" s="87">
        <f t="shared" si="36"/>
        <v>0</v>
      </c>
      <c r="G192" s="41"/>
      <c r="H192" s="41"/>
      <c r="I192" s="93">
        <f t="shared" si="42"/>
        <v>0</v>
      </c>
      <c r="J192" s="95" t="e">
        <f t="shared" si="61"/>
        <v>#DIV/0!</v>
      </c>
      <c r="K192" s="95" t="e">
        <f t="shared" si="62"/>
        <v>#DIV/0!</v>
      </c>
      <c r="L192" s="50"/>
      <c r="M192" s="50"/>
      <c r="N192" s="50"/>
      <c r="O192" s="50"/>
      <c r="P192" s="51"/>
      <c r="Q192" s="98"/>
      <c r="R192" s="52"/>
      <c r="S192" s="45"/>
      <c r="T192" s="96" t="e">
        <f t="shared" si="56"/>
        <v>#DIV/0!</v>
      </c>
      <c r="U192" s="45"/>
      <c r="V192" s="96" t="e">
        <f t="shared" si="57"/>
        <v>#DIV/0!</v>
      </c>
      <c r="W192" s="45"/>
      <c r="X192" s="96" t="e">
        <f t="shared" si="50"/>
        <v>#DIV/0!</v>
      </c>
      <c r="Y192" s="96"/>
      <c r="Z192" s="96" t="e">
        <f t="shared" si="52"/>
        <v>#DIV/0!</v>
      </c>
      <c r="AA192" s="52"/>
      <c r="AB192" s="45"/>
      <c r="AC192" s="105">
        <f t="shared" si="54"/>
        <v>0</v>
      </c>
      <c r="AD192" s="48"/>
      <c r="AE192" s="48"/>
      <c r="AF192" s="49">
        <f t="shared" si="64"/>
        <v>0</v>
      </c>
      <c r="AG192" s="38"/>
      <c r="AH192" s="34"/>
      <c r="AI192" s="109">
        <f t="shared" si="67"/>
        <v>0</v>
      </c>
      <c r="AJ192" s="26"/>
      <c r="AK192" s="26"/>
      <c r="AL192" s="69">
        <f t="shared" si="66"/>
        <v>0</v>
      </c>
      <c r="AM192" s="24"/>
      <c r="AN192" s="20"/>
      <c r="AO192" s="20"/>
      <c r="AP192" s="106">
        <f t="shared" si="65"/>
        <v>0</v>
      </c>
      <c r="AQ192" s="20"/>
      <c r="AR192" s="20"/>
      <c r="AS192" s="118" t="e">
        <f t="shared" si="58"/>
        <v>#DIV/0!</v>
      </c>
      <c r="AT192" s="118" t="e">
        <f t="shared" si="59"/>
        <v>#DIV/0!</v>
      </c>
      <c r="AU192" s="20"/>
      <c r="AV192" s="20"/>
      <c r="AW192" s="20"/>
      <c r="AX192" s="22"/>
      <c r="AY192" s="22"/>
      <c r="AZ192" s="22"/>
      <c r="BA192" s="20"/>
      <c r="BB192" s="106">
        <f t="shared" si="39"/>
        <v>0</v>
      </c>
      <c r="BC192" s="24"/>
      <c r="BD192" s="50"/>
      <c r="BE192" s="50"/>
      <c r="BF192" s="114">
        <f t="shared" si="40"/>
        <v>0</v>
      </c>
      <c r="BG192" s="72"/>
      <c r="BH192" s="72"/>
      <c r="BI192" s="72"/>
      <c r="BJ192" s="72"/>
      <c r="BK192" s="72"/>
      <c r="BL192" s="114">
        <f t="shared" si="63"/>
        <v>0</v>
      </c>
    </row>
    <row r="193" spans="1:64" x14ac:dyDescent="0.2">
      <c r="A193" s="13" t="str">
        <f t="shared" si="35"/>
        <v>2014Q4</v>
      </c>
      <c r="B193" s="11">
        <f t="shared" si="55"/>
        <v>2014</v>
      </c>
      <c r="C193" s="11" t="s">
        <v>4</v>
      </c>
      <c r="D193" s="44"/>
      <c r="E193" s="45"/>
      <c r="F193" s="87">
        <f t="shared" si="36"/>
        <v>0</v>
      </c>
      <c r="G193" s="41"/>
      <c r="H193" s="41"/>
      <c r="I193" s="93">
        <f t="shared" si="42"/>
        <v>0</v>
      </c>
      <c r="J193" s="95" t="e">
        <f t="shared" si="61"/>
        <v>#DIV/0!</v>
      </c>
      <c r="K193" s="95" t="e">
        <f t="shared" si="62"/>
        <v>#DIV/0!</v>
      </c>
      <c r="L193" s="50"/>
      <c r="M193" s="50"/>
      <c r="N193" s="50"/>
      <c r="O193" s="50"/>
      <c r="P193" s="51"/>
      <c r="Q193" s="98"/>
      <c r="R193" s="52"/>
      <c r="S193" s="45"/>
      <c r="T193" s="96" t="e">
        <f t="shared" si="56"/>
        <v>#DIV/0!</v>
      </c>
      <c r="U193" s="45"/>
      <c r="V193" s="96" t="e">
        <f t="shared" si="57"/>
        <v>#DIV/0!</v>
      </c>
      <c r="W193" s="45"/>
      <c r="X193" s="96" t="e">
        <f t="shared" si="50"/>
        <v>#DIV/0!</v>
      </c>
      <c r="Y193" s="96"/>
      <c r="Z193" s="96" t="e">
        <f t="shared" si="52"/>
        <v>#DIV/0!</v>
      </c>
      <c r="AA193" s="52"/>
      <c r="AB193" s="45"/>
      <c r="AC193" s="105">
        <f t="shared" si="54"/>
        <v>0</v>
      </c>
      <c r="AD193" s="48"/>
      <c r="AE193" s="48"/>
      <c r="AF193" s="49">
        <f t="shared" si="64"/>
        <v>0</v>
      </c>
      <c r="AG193" s="38"/>
      <c r="AH193" s="34"/>
      <c r="AI193" s="109">
        <f t="shared" si="67"/>
        <v>0</v>
      </c>
      <c r="AJ193" s="26"/>
      <c r="AK193" s="26"/>
      <c r="AL193" s="69">
        <f t="shared" si="66"/>
        <v>0</v>
      </c>
      <c r="AM193" s="24"/>
      <c r="AN193" s="20"/>
      <c r="AO193" s="20"/>
      <c r="AP193" s="106">
        <f t="shared" si="65"/>
        <v>0</v>
      </c>
      <c r="AQ193" s="20"/>
      <c r="AR193" s="20"/>
      <c r="AS193" s="118" t="e">
        <f t="shared" si="58"/>
        <v>#DIV/0!</v>
      </c>
      <c r="AT193" s="118" t="e">
        <f t="shared" si="59"/>
        <v>#DIV/0!</v>
      </c>
      <c r="AU193" s="20"/>
      <c r="AV193" s="20"/>
      <c r="AW193" s="20"/>
      <c r="AX193" s="22"/>
      <c r="AY193" s="22"/>
      <c r="AZ193" s="22"/>
      <c r="BA193" s="20"/>
      <c r="BB193" s="106">
        <f t="shared" si="39"/>
        <v>0</v>
      </c>
      <c r="BC193" s="24"/>
      <c r="BD193" s="50"/>
      <c r="BE193" s="50"/>
      <c r="BF193" s="114">
        <f t="shared" si="40"/>
        <v>0</v>
      </c>
      <c r="BG193" s="72"/>
      <c r="BH193" s="72"/>
      <c r="BI193" s="72"/>
      <c r="BJ193" s="72"/>
      <c r="BK193" s="72"/>
      <c r="BL193" s="114">
        <f t="shared" si="63"/>
        <v>0</v>
      </c>
    </row>
    <row r="194" spans="1:64" x14ac:dyDescent="0.2">
      <c r="A194" s="13" t="str">
        <f t="shared" si="35"/>
        <v>2015Q1</v>
      </c>
      <c r="B194" s="11">
        <f t="shared" si="55"/>
        <v>2015</v>
      </c>
      <c r="C194" s="11" t="s">
        <v>1</v>
      </c>
      <c r="D194" s="44"/>
      <c r="E194" s="45"/>
      <c r="F194" s="87">
        <f t="shared" si="36"/>
        <v>0</v>
      </c>
      <c r="G194" s="41"/>
      <c r="H194" s="41"/>
      <c r="I194" s="93">
        <f t="shared" si="42"/>
        <v>0</v>
      </c>
      <c r="J194" s="95" t="e">
        <f t="shared" si="61"/>
        <v>#DIV/0!</v>
      </c>
      <c r="K194" s="95" t="e">
        <f t="shared" si="62"/>
        <v>#DIV/0!</v>
      </c>
      <c r="L194" s="50"/>
      <c r="M194" s="50"/>
      <c r="N194" s="50"/>
      <c r="O194" s="50"/>
      <c r="P194" s="51"/>
      <c r="Q194" s="98"/>
      <c r="R194" s="52"/>
      <c r="S194" s="45"/>
      <c r="T194" s="96" t="e">
        <f t="shared" si="56"/>
        <v>#DIV/0!</v>
      </c>
      <c r="U194" s="45"/>
      <c r="V194" s="96" t="e">
        <f t="shared" si="57"/>
        <v>#DIV/0!</v>
      </c>
      <c r="W194" s="45"/>
      <c r="X194" s="96" t="e">
        <f t="shared" si="50"/>
        <v>#DIV/0!</v>
      </c>
      <c r="Y194" s="96"/>
      <c r="Z194" s="96" t="e">
        <f t="shared" si="52"/>
        <v>#DIV/0!</v>
      </c>
      <c r="AA194" s="52"/>
      <c r="AB194" s="45"/>
      <c r="AC194" s="105">
        <f t="shared" si="54"/>
        <v>0</v>
      </c>
      <c r="AD194" s="48"/>
      <c r="AE194" s="48"/>
      <c r="AF194" s="49">
        <f t="shared" si="64"/>
        <v>0</v>
      </c>
      <c r="AG194" s="38"/>
      <c r="AH194" s="34"/>
      <c r="AI194" s="109">
        <f t="shared" si="67"/>
        <v>0</v>
      </c>
      <c r="AJ194" s="26"/>
      <c r="AK194" s="26"/>
      <c r="AL194" s="69">
        <f t="shared" si="66"/>
        <v>0</v>
      </c>
      <c r="AM194" s="24"/>
      <c r="AN194" s="20"/>
      <c r="AO194" s="20"/>
      <c r="AP194" s="106">
        <f t="shared" si="65"/>
        <v>0</v>
      </c>
      <c r="AQ194" s="20"/>
      <c r="AR194" s="20"/>
      <c r="AS194" s="118" t="e">
        <f t="shared" si="58"/>
        <v>#DIV/0!</v>
      </c>
      <c r="AT194" s="118" t="e">
        <f t="shared" si="59"/>
        <v>#DIV/0!</v>
      </c>
      <c r="AU194" s="20"/>
      <c r="AV194" s="20"/>
      <c r="AW194" s="20"/>
      <c r="AX194" s="22"/>
      <c r="AY194" s="22"/>
      <c r="AZ194" s="22"/>
      <c r="BA194" s="20"/>
      <c r="BB194" s="106">
        <f t="shared" si="39"/>
        <v>0</v>
      </c>
      <c r="BC194" s="24"/>
      <c r="BD194" s="50"/>
      <c r="BE194" s="50"/>
      <c r="BF194" s="114">
        <f t="shared" si="40"/>
        <v>0</v>
      </c>
      <c r="BG194" s="72"/>
      <c r="BH194" s="72"/>
      <c r="BI194" s="72"/>
      <c r="BJ194" s="72"/>
      <c r="BK194" s="72"/>
      <c r="BL194" s="114">
        <f t="shared" si="63"/>
        <v>0</v>
      </c>
    </row>
    <row r="195" spans="1:64" x14ac:dyDescent="0.2">
      <c r="A195" s="13" t="str">
        <f t="shared" si="35"/>
        <v>2015Q2</v>
      </c>
      <c r="B195" s="11">
        <f t="shared" si="55"/>
        <v>2015</v>
      </c>
      <c r="C195" s="11" t="s">
        <v>2</v>
      </c>
      <c r="D195" s="44"/>
      <c r="E195" s="45"/>
      <c r="F195" s="87">
        <f t="shared" si="36"/>
        <v>0</v>
      </c>
      <c r="G195" s="41"/>
      <c r="H195" s="41"/>
      <c r="I195" s="93">
        <f t="shared" si="42"/>
        <v>0</v>
      </c>
      <c r="J195" s="95" t="e">
        <f t="shared" si="61"/>
        <v>#DIV/0!</v>
      </c>
      <c r="K195" s="95" t="e">
        <f t="shared" si="62"/>
        <v>#DIV/0!</v>
      </c>
      <c r="L195" s="50"/>
      <c r="M195" s="50"/>
      <c r="N195" s="50"/>
      <c r="O195" s="50"/>
      <c r="P195" s="51"/>
      <c r="Q195" s="98"/>
      <c r="R195" s="52"/>
      <c r="S195" s="45"/>
      <c r="T195" s="96" t="e">
        <f t="shared" si="56"/>
        <v>#DIV/0!</v>
      </c>
      <c r="U195" s="45"/>
      <c r="V195" s="96" t="e">
        <f t="shared" si="57"/>
        <v>#DIV/0!</v>
      </c>
      <c r="W195" s="45"/>
      <c r="X195" s="96" t="e">
        <f t="shared" si="50"/>
        <v>#DIV/0!</v>
      </c>
      <c r="Y195" s="96"/>
      <c r="Z195" s="96" t="e">
        <f t="shared" si="52"/>
        <v>#DIV/0!</v>
      </c>
      <c r="AA195" s="52"/>
      <c r="AB195" s="45"/>
      <c r="AC195" s="105">
        <f t="shared" si="54"/>
        <v>0</v>
      </c>
      <c r="AD195" s="48"/>
      <c r="AE195" s="48"/>
      <c r="AF195" s="49">
        <f t="shared" si="64"/>
        <v>0</v>
      </c>
      <c r="AG195" s="38"/>
      <c r="AH195" s="34"/>
      <c r="AI195" s="109">
        <f t="shared" si="67"/>
        <v>0</v>
      </c>
      <c r="AJ195" s="26"/>
      <c r="AK195" s="26"/>
      <c r="AL195" s="69">
        <f t="shared" si="66"/>
        <v>0</v>
      </c>
      <c r="AM195" s="24"/>
      <c r="AN195" s="20"/>
      <c r="AO195" s="20"/>
      <c r="AP195" s="106">
        <f t="shared" si="65"/>
        <v>0</v>
      </c>
      <c r="AQ195" s="20"/>
      <c r="AR195" s="20"/>
      <c r="AS195" s="118" t="e">
        <f t="shared" si="58"/>
        <v>#DIV/0!</v>
      </c>
      <c r="AT195" s="118" t="e">
        <f t="shared" si="59"/>
        <v>#DIV/0!</v>
      </c>
      <c r="AU195" s="20"/>
      <c r="AV195" s="20"/>
      <c r="AW195" s="20"/>
      <c r="AX195" s="22"/>
      <c r="AY195" s="22"/>
      <c r="AZ195" s="22"/>
      <c r="BA195" s="20"/>
      <c r="BB195" s="106">
        <f t="shared" si="39"/>
        <v>0</v>
      </c>
      <c r="BC195" s="24"/>
      <c r="BD195" s="50"/>
      <c r="BE195" s="50"/>
      <c r="BF195" s="114">
        <f t="shared" si="40"/>
        <v>0</v>
      </c>
      <c r="BG195" s="72"/>
      <c r="BH195" s="72"/>
      <c r="BI195" s="72"/>
      <c r="BJ195" s="72"/>
      <c r="BK195" s="72"/>
      <c r="BL195" s="114">
        <f t="shared" si="63"/>
        <v>0</v>
      </c>
    </row>
    <row r="196" spans="1:64" x14ac:dyDescent="0.2">
      <c r="A196" s="13" t="str">
        <f t="shared" si="35"/>
        <v>2015Q3</v>
      </c>
      <c r="B196" s="11">
        <f t="shared" si="55"/>
        <v>2015</v>
      </c>
      <c r="C196" s="11" t="s">
        <v>3</v>
      </c>
      <c r="D196" s="44"/>
      <c r="E196" s="45"/>
      <c r="F196" s="87">
        <f t="shared" si="36"/>
        <v>0</v>
      </c>
      <c r="G196" s="41"/>
      <c r="H196" s="41"/>
      <c r="I196" s="93">
        <f t="shared" si="42"/>
        <v>0</v>
      </c>
      <c r="J196" s="95" t="e">
        <f t="shared" si="61"/>
        <v>#DIV/0!</v>
      </c>
      <c r="K196" s="95" t="e">
        <f t="shared" si="62"/>
        <v>#DIV/0!</v>
      </c>
      <c r="L196" s="50"/>
      <c r="M196" s="50"/>
      <c r="N196" s="50"/>
      <c r="O196" s="50"/>
      <c r="P196" s="51"/>
      <c r="Q196" s="98"/>
      <c r="R196" s="52"/>
      <c r="S196" s="45"/>
      <c r="T196" s="96" t="e">
        <f t="shared" si="56"/>
        <v>#DIV/0!</v>
      </c>
      <c r="U196" s="45"/>
      <c r="V196" s="96" t="e">
        <f t="shared" si="57"/>
        <v>#DIV/0!</v>
      </c>
      <c r="W196" s="45"/>
      <c r="X196" s="96" t="e">
        <f t="shared" si="50"/>
        <v>#DIV/0!</v>
      </c>
      <c r="Y196" s="96"/>
      <c r="Z196" s="96" t="e">
        <f t="shared" si="52"/>
        <v>#DIV/0!</v>
      </c>
      <c r="AA196" s="52"/>
      <c r="AB196" s="45"/>
      <c r="AC196" s="105">
        <f t="shared" si="54"/>
        <v>0</v>
      </c>
      <c r="AD196" s="48"/>
      <c r="AE196" s="48"/>
      <c r="AF196" s="49">
        <f t="shared" si="64"/>
        <v>0</v>
      </c>
      <c r="AG196" s="38"/>
      <c r="AH196" s="34"/>
      <c r="AI196" s="109">
        <f t="shared" si="67"/>
        <v>0</v>
      </c>
      <c r="AJ196" s="26"/>
      <c r="AK196" s="26"/>
      <c r="AL196" s="69">
        <f t="shared" si="66"/>
        <v>0</v>
      </c>
      <c r="AM196" s="24"/>
      <c r="AN196" s="20"/>
      <c r="AO196" s="20"/>
      <c r="AP196" s="106">
        <f t="shared" si="65"/>
        <v>0</v>
      </c>
      <c r="AQ196" s="20"/>
      <c r="AR196" s="20"/>
      <c r="AS196" s="118" t="e">
        <f t="shared" si="58"/>
        <v>#DIV/0!</v>
      </c>
      <c r="AT196" s="118" t="e">
        <f t="shared" si="59"/>
        <v>#DIV/0!</v>
      </c>
      <c r="AU196" s="20"/>
      <c r="AV196" s="20"/>
      <c r="AW196" s="20"/>
      <c r="AX196" s="22"/>
      <c r="AY196" s="22"/>
      <c r="AZ196" s="22"/>
      <c r="BA196" s="20"/>
      <c r="BB196" s="106">
        <f t="shared" si="39"/>
        <v>0</v>
      </c>
      <c r="BC196" s="24"/>
      <c r="BD196" s="50"/>
      <c r="BE196" s="50"/>
      <c r="BF196" s="114">
        <f t="shared" si="40"/>
        <v>0</v>
      </c>
      <c r="BG196" s="72"/>
      <c r="BH196" s="72"/>
      <c r="BI196" s="72"/>
      <c r="BJ196" s="72"/>
      <c r="BK196" s="72"/>
      <c r="BL196" s="114">
        <f t="shared" si="63"/>
        <v>0</v>
      </c>
    </row>
    <row r="197" spans="1:64" x14ac:dyDescent="0.2">
      <c r="A197" s="13" t="str">
        <f t="shared" si="35"/>
        <v>2015Q4</v>
      </c>
      <c r="B197" s="11">
        <f t="shared" si="55"/>
        <v>2015</v>
      </c>
      <c r="C197" s="11" t="s">
        <v>4</v>
      </c>
      <c r="D197" s="44"/>
      <c r="E197" s="45"/>
      <c r="F197" s="87">
        <f t="shared" si="36"/>
        <v>0</v>
      </c>
      <c r="G197" s="41"/>
      <c r="H197" s="41"/>
      <c r="I197" s="93">
        <f t="shared" si="42"/>
        <v>0</v>
      </c>
      <c r="J197" s="95" t="e">
        <f t="shared" si="61"/>
        <v>#DIV/0!</v>
      </c>
      <c r="K197" s="95" t="e">
        <f t="shared" si="62"/>
        <v>#DIV/0!</v>
      </c>
      <c r="L197" s="50"/>
      <c r="M197" s="50"/>
      <c r="N197" s="50"/>
      <c r="O197" s="50"/>
      <c r="P197" s="51"/>
      <c r="Q197" s="98"/>
      <c r="R197" s="52"/>
      <c r="S197" s="45"/>
      <c r="T197" s="96" t="e">
        <f t="shared" si="56"/>
        <v>#DIV/0!</v>
      </c>
      <c r="U197" s="45"/>
      <c r="V197" s="96" t="e">
        <f t="shared" si="57"/>
        <v>#DIV/0!</v>
      </c>
      <c r="W197" s="45"/>
      <c r="X197" s="96" t="e">
        <f t="shared" si="50"/>
        <v>#DIV/0!</v>
      </c>
      <c r="Y197" s="96"/>
      <c r="Z197" s="96" t="e">
        <f t="shared" si="52"/>
        <v>#DIV/0!</v>
      </c>
      <c r="AA197" s="52"/>
      <c r="AB197" s="45"/>
      <c r="AC197" s="105">
        <f t="shared" si="54"/>
        <v>0</v>
      </c>
      <c r="AD197" s="48"/>
      <c r="AE197" s="48"/>
      <c r="AF197" s="49">
        <f t="shared" si="64"/>
        <v>0</v>
      </c>
      <c r="AG197" s="38"/>
      <c r="AH197" s="34"/>
      <c r="AI197" s="109">
        <f t="shared" si="67"/>
        <v>0</v>
      </c>
      <c r="AJ197" s="26"/>
      <c r="AK197" s="26"/>
      <c r="AL197" s="69">
        <f t="shared" si="66"/>
        <v>0</v>
      </c>
      <c r="AM197" s="24"/>
      <c r="AN197" s="20"/>
      <c r="AO197" s="20"/>
      <c r="AP197" s="106">
        <f t="shared" si="65"/>
        <v>0</v>
      </c>
      <c r="AQ197" s="20"/>
      <c r="AR197" s="20"/>
      <c r="AS197" s="118" t="e">
        <f t="shared" si="58"/>
        <v>#DIV/0!</v>
      </c>
      <c r="AT197" s="118" t="e">
        <f t="shared" si="59"/>
        <v>#DIV/0!</v>
      </c>
      <c r="AU197" s="20"/>
      <c r="AV197" s="20"/>
      <c r="AW197" s="20"/>
      <c r="AX197" s="22"/>
      <c r="AY197" s="22"/>
      <c r="AZ197" s="22"/>
      <c r="BA197" s="20"/>
      <c r="BB197" s="106">
        <f t="shared" si="39"/>
        <v>0</v>
      </c>
      <c r="BC197" s="24"/>
      <c r="BD197" s="50"/>
      <c r="BE197" s="50"/>
      <c r="BF197" s="114">
        <f t="shared" si="40"/>
        <v>0</v>
      </c>
      <c r="BG197" s="72"/>
      <c r="BH197" s="72"/>
      <c r="BI197" s="72"/>
      <c r="BJ197" s="72"/>
      <c r="BK197" s="72"/>
      <c r="BL197" s="114">
        <f t="shared" si="63"/>
        <v>0</v>
      </c>
    </row>
    <row r="198" spans="1:64" x14ac:dyDescent="0.2">
      <c r="A198" s="13" t="str">
        <f t="shared" ref="A198:A261" si="68">B198&amp;C198</f>
        <v>2016Q1</v>
      </c>
      <c r="B198" s="11">
        <f t="shared" si="55"/>
        <v>2016</v>
      </c>
      <c r="C198" s="11" t="s">
        <v>1</v>
      </c>
      <c r="D198" s="44"/>
      <c r="E198" s="45"/>
      <c r="F198" s="87">
        <f t="shared" ref="F198:F261" si="69">D198+E198</f>
        <v>0</v>
      </c>
      <c r="G198" s="41"/>
      <c r="H198" s="41"/>
      <c r="I198" s="93">
        <f t="shared" si="42"/>
        <v>0</v>
      </c>
      <c r="J198" s="95" t="e">
        <f t="shared" si="61"/>
        <v>#DIV/0!</v>
      </c>
      <c r="K198" s="95" t="e">
        <f t="shared" si="62"/>
        <v>#DIV/0!</v>
      </c>
      <c r="L198" s="50"/>
      <c r="M198" s="50"/>
      <c r="N198" s="50"/>
      <c r="O198" s="50"/>
      <c r="P198" s="51"/>
      <c r="Q198" s="98"/>
      <c r="R198" s="52"/>
      <c r="S198" s="45"/>
      <c r="T198" s="96" t="e">
        <f t="shared" si="56"/>
        <v>#DIV/0!</v>
      </c>
      <c r="U198" s="45"/>
      <c r="V198" s="96" t="e">
        <f t="shared" si="57"/>
        <v>#DIV/0!</v>
      </c>
      <c r="W198" s="45"/>
      <c r="X198" s="96" t="e">
        <f t="shared" ref="X198:X229" si="70">IF(W198="..","..",W198/$Q198*100)</f>
        <v>#DIV/0!</v>
      </c>
      <c r="Y198" s="96"/>
      <c r="Z198" s="96" t="e">
        <f t="shared" ref="Z198:Z229" si="71">IF(Y198="..","..",Y198/$Q198*100)</f>
        <v>#DIV/0!</v>
      </c>
      <c r="AA198" s="52"/>
      <c r="AB198" s="45"/>
      <c r="AC198" s="105">
        <f t="shared" si="54"/>
        <v>0</v>
      </c>
      <c r="AD198" s="48"/>
      <c r="AE198" s="48"/>
      <c r="AF198" s="49">
        <f t="shared" si="64"/>
        <v>0</v>
      </c>
      <c r="AG198" s="38"/>
      <c r="AH198" s="34"/>
      <c r="AI198" s="109">
        <f t="shared" si="67"/>
        <v>0</v>
      </c>
      <c r="AJ198" s="26"/>
      <c r="AK198" s="26"/>
      <c r="AL198" s="69">
        <f t="shared" si="66"/>
        <v>0</v>
      </c>
      <c r="AM198" s="24"/>
      <c r="AN198" s="20"/>
      <c r="AO198" s="20"/>
      <c r="AP198" s="106">
        <f t="shared" si="65"/>
        <v>0</v>
      </c>
      <c r="AQ198" s="20"/>
      <c r="AR198" s="20"/>
      <c r="AS198" s="118" t="e">
        <f t="shared" si="58"/>
        <v>#DIV/0!</v>
      </c>
      <c r="AT198" s="118" t="e">
        <f t="shared" si="59"/>
        <v>#DIV/0!</v>
      </c>
      <c r="AU198" s="20"/>
      <c r="AV198" s="20"/>
      <c r="AW198" s="20"/>
      <c r="AX198" s="22"/>
      <c r="AY198" s="22"/>
      <c r="AZ198" s="22"/>
      <c r="BA198" s="20"/>
      <c r="BB198" s="106">
        <f t="shared" ref="BB198:BB261" si="72">IF(BA198=":",AY198,AY198+BA198)</f>
        <v>0</v>
      </c>
      <c r="BC198" s="24"/>
      <c r="BD198" s="50"/>
      <c r="BE198" s="50"/>
      <c r="BF198" s="114">
        <f t="shared" ref="BF198:BF261" si="73">IF(BE198="..","..",BD198+BE198)</f>
        <v>0</v>
      </c>
      <c r="BG198" s="72"/>
      <c r="BH198" s="72"/>
      <c r="BI198" s="72"/>
      <c r="BJ198" s="72"/>
      <c r="BK198" s="72"/>
      <c r="BL198" s="114">
        <f t="shared" si="63"/>
        <v>0</v>
      </c>
    </row>
    <row r="199" spans="1:64" x14ac:dyDescent="0.2">
      <c r="A199" s="13" t="str">
        <f t="shared" si="68"/>
        <v>2016Q2</v>
      </c>
      <c r="B199" s="11">
        <f t="shared" si="55"/>
        <v>2016</v>
      </c>
      <c r="C199" s="11" t="s">
        <v>2</v>
      </c>
      <c r="D199" s="44"/>
      <c r="E199" s="45"/>
      <c r="F199" s="87">
        <f t="shared" si="69"/>
        <v>0</v>
      </c>
      <c r="G199" s="41"/>
      <c r="H199" s="41"/>
      <c r="I199" s="93">
        <f t="shared" si="42"/>
        <v>0</v>
      </c>
      <c r="J199" s="95" t="e">
        <f t="shared" si="61"/>
        <v>#DIV/0!</v>
      </c>
      <c r="K199" s="95" t="e">
        <f t="shared" si="62"/>
        <v>#DIV/0!</v>
      </c>
      <c r="L199" s="50"/>
      <c r="M199" s="50"/>
      <c r="N199" s="50"/>
      <c r="O199" s="50"/>
      <c r="P199" s="51"/>
      <c r="Q199" s="98"/>
      <c r="R199" s="52"/>
      <c r="S199" s="45"/>
      <c r="T199" s="96" t="e">
        <f t="shared" si="56"/>
        <v>#DIV/0!</v>
      </c>
      <c r="U199" s="45"/>
      <c r="V199" s="96" t="e">
        <f t="shared" si="57"/>
        <v>#DIV/0!</v>
      </c>
      <c r="W199" s="45"/>
      <c r="X199" s="96" t="e">
        <f t="shared" si="70"/>
        <v>#DIV/0!</v>
      </c>
      <c r="Y199" s="96"/>
      <c r="Z199" s="96" t="e">
        <f t="shared" si="71"/>
        <v>#DIV/0!</v>
      </c>
      <c r="AA199" s="52"/>
      <c r="AB199" s="45"/>
      <c r="AC199" s="105">
        <f t="shared" si="54"/>
        <v>0</v>
      </c>
      <c r="AD199" s="48"/>
      <c r="AE199" s="48"/>
      <c r="AF199" s="49">
        <f t="shared" si="64"/>
        <v>0</v>
      </c>
      <c r="AG199" s="38"/>
      <c r="AH199" s="34"/>
      <c r="AI199" s="109">
        <f t="shared" si="67"/>
        <v>0</v>
      </c>
      <c r="AJ199" s="26"/>
      <c r="AK199" s="26"/>
      <c r="AL199" s="69">
        <f t="shared" si="66"/>
        <v>0</v>
      </c>
      <c r="AM199" s="24"/>
      <c r="AN199" s="20"/>
      <c r="AO199" s="20"/>
      <c r="AP199" s="106">
        <f t="shared" si="65"/>
        <v>0</v>
      </c>
      <c r="AQ199" s="20"/>
      <c r="AR199" s="20"/>
      <c r="AS199" s="118" t="e">
        <f t="shared" si="58"/>
        <v>#DIV/0!</v>
      </c>
      <c r="AT199" s="118" t="e">
        <f t="shared" si="59"/>
        <v>#DIV/0!</v>
      </c>
      <c r="AU199" s="20"/>
      <c r="AV199" s="20"/>
      <c r="AW199" s="20"/>
      <c r="AX199" s="22"/>
      <c r="AY199" s="22"/>
      <c r="AZ199" s="22"/>
      <c r="BA199" s="20"/>
      <c r="BB199" s="106">
        <f t="shared" si="72"/>
        <v>0</v>
      </c>
      <c r="BC199" s="24"/>
      <c r="BD199" s="50"/>
      <c r="BE199" s="50"/>
      <c r="BF199" s="114">
        <f t="shared" si="73"/>
        <v>0</v>
      </c>
      <c r="BG199" s="72"/>
      <c r="BH199" s="72"/>
      <c r="BI199" s="72"/>
      <c r="BJ199" s="72"/>
      <c r="BK199" s="72"/>
      <c r="BL199" s="114">
        <f t="shared" si="63"/>
        <v>0</v>
      </c>
    </row>
    <row r="200" spans="1:64" x14ac:dyDescent="0.2">
      <c r="A200" s="13" t="str">
        <f t="shared" si="68"/>
        <v>2016Q3</v>
      </c>
      <c r="B200" s="11">
        <f t="shared" si="55"/>
        <v>2016</v>
      </c>
      <c r="C200" s="11" t="s">
        <v>3</v>
      </c>
      <c r="D200" s="44"/>
      <c r="E200" s="45"/>
      <c r="F200" s="87">
        <f t="shared" si="69"/>
        <v>0</v>
      </c>
      <c r="G200" s="41"/>
      <c r="H200" s="41"/>
      <c r="I200" s="93">
        <f t="shared" si="42"/>
        <v>0</v>
      </c>
      <c r="J200" s="95" t="e">
        <f t="shared" si="61"/>
        <v>#DIV/0!</v>
      </c>
      <c r="K200" s="95" t="e">
        <f t="shared" si="62"/>
        <v>#DIV/0!</v>
      </c>
      <c r="L200" s="50"/>
      <c r="M200" s="50"/>
      <c r="N200" s="50"/>
      <c r="O200" s="50"/>
      <c r="P200" s="51"/>
      <c r="Q200" s="98"/>
      <c r="R200" s="52"/>
      <c r="S200" s="45"/>
      <c r="T200" s="96" t="e">
        <f t="shared" si="56"/>
        <v>#DIV/0!</v>
      </c>
      <c r="U200" s="45"/>
      <c r="V200" s="96" t="e">
        <f t="shared" si="57"/>
        <v>#DIV/0!</v>
      </c>
      <c r="W200" s="45"/>
      <c r="X200" s="96" t="e">
        <f t="shared" si="70"/>
        <v>#DIV/0!</v>
      </c>
      <c r="Y200" s="96"/>
      <c r="Z200" s="96" t="e">
        <f t="shared" si="71"/>
        <v>#DIV/0!</v>
      </c>
      <c r="AA200" s="52"/>
      <c r="AB200" s="45"/>
      <c r="AC200" s="105">
        <f t="shared" si="54"/>
        <v>0</v>
      </c>
      <c r="AD200" s="48"/>
      <c r="AE200" s="48"/>
      <c r="AF200" s="49">
        <f t="shared" si="64"/>
        <v>0</v>
      </c>
      <c r="AG200" s="38"/>
      <c r="AH200" s="34"/>
      <c r="AI200" s="109">
        <f t="shared" si="67"/>
        <v>0</v>
      </c>
      <c r="AJ200" s="26"/>
      <c r="AK200" s="26"/>
      <c r="AL200" s="69">
        <f t="shared" si="66"/>
        <v>0</v>
      </c>
      <c r="AM200" s="24"/>
      <c r="AN200" s="20"/>
      <c r="AO200" s="20"/>
      <c r="AP200" s="106">
        <f t="shared" si="65"/>
        <v>0</v>
      </c>
      <c r="AQ200" s="20"/>
      <c r="AR200" s="20"/>
      <c r="AS200" s="118" t="e">
        <f t="shared" si="58"/>
        <v>#DIV/0!</v>
      </c>
      <c r="AT200" s="118" t="e">
        <f t="shared" si="59"/>
        <v>#DIV/0!</v>
      </c>
      <c r="AU200" s="20"/>
      <c r="AV200" s="20"/>
      <c r="AW200" s="20"/>
      <c r="AX200" s="22"/>
      <c r="AY200" s="22"/>
      <c r="AZ200" s="22"/>
      <c r="BA200" s="20"/>
      <c r="BB200" s="106">
        <f t="shared" si="72"/>
        <v>0</v>
      </c>
      <c r="BC200" s="24"/>
      <c r="BD200" s="50"/>
      <c r="BE200" s="50"/>
      <c r="BF200" s="114">
        <f t="shared" si="73"/>
        <v>0</v>
      </c>
      <c r="BG200" s="72"/>
      <c r="BH200" s="72"/>
      <c r="BI200" s="72"/>
      <c r="BJ200" s="72"/>
      <c r="BK200" s="72"/>
      <c r="BL200" s="114">
        <f t="shared" si="63"/>
        <v>0</v>
      </c>
    </row>
    <row r="201" spans="1:64" x14ac:dyDescent="0.2">
      <c r="A201" s="13" t="str">
        <f t="shared" si="68"/>
        <v>2016Q4</v>
      </c>
      <c r="B201" s="11">
        <f t="shared" si="55"/>
        <v>2016</v>
      </c>
      <c r="C201" s="11" t="s">
        <v>4</v>
      </c>
      <c r="F201" s="87">
        <f t="shared" si="69"/>
        <v>0</v>
      </c>
      <c r="I201" s="93">
        <f t="shared" si="42"/>
        <v>0</v>
      </c>
      <c r="J201" s="95" t="e">
        <f t="shared" si="61"/>
        <v>#DIV/0!</v>
      </c>
      <c r="K201" s="95" t="e">
        <f t="shared" si="62"/>
        <v>#DIV/0!</v>
      </c>
      <c r="T201" s="96" t="e">
        <f t="shared" si="56"/>
        <v>#DIV/0!</v>
      </c>
      <c r="V201" s="96" t="e">
        <f t="shared" si="57"/>
        <v>#DIV/0!</v>
      </c>
      <c r="X201" s="96" t="e">
        <f t="shared" si="70"/>
        <v>#DIV/0!</v>
      </c>
      <c r="Z201" s="96" t="e">
        <f t="shared" si="71"/>
        <v>#DIV/0!</v>
      </c>
      <c r="AC201" s="105">
        <f t="shared" si="54"/>
        <v>0</v>
      </c>
      <c r="AF201" s="49">
        <f t="shared" si="64"/>
        <v>0</v>
      </c>
      <c r="AI201" s="109">
        <f t="shared" si="67"/>
        <v>0</v>
      </c>
      <c r="AL201" s="27">
        <f t="shared" si="66"/>
        <v>0</v>
      </c>
      <c r="AP201" s="106">
        <f t="shared" si="65"/>
        <v>0</v>
      </c>
      <c r="AS201" s="118" t="e">
        <f t="shared" si="58"/>
        <v>#DIV/0!</v>
      </c>
      <c r="AT201" s="118" t="e">
        <f t="shared" si="59"/>
        <v>#DIV/0!</v>
      </c>
      <c r="BB201" s="106">
        <f t="shared" si="72"/>
        <v>0</v>
      </c>
      <c r="BD201" s="50"/>
      <c r="BF201" s="106">
        <f t="shared" si="73"/>
        <v>0</v>
      </c>
      <c r="BG201" s="23"/>
      <c r="BH201" s="23"/>
      <c r="BL201" s="114">
        <f t="shared" si="63"/>
        <v>0</v>
      </c>
    </row>
    <row r="202" spans="1:64" x14ac:dyDescent="0.2">
      <c r="A202" s="13" t="str">
        <f t="shared" si="68"/>
        <v>2017Q1</v>
      </c>
      <c r="B202" s="11">
        <f t="shared" si="55"/>
        <v>2017</v>
      </c>
      <c r="C202" s="11" t="s">
        <v>1</v>
      </c>
      <c r="F202" s="87">
        <f t="shared" si="69"/>
        <v>0</v>
      </c>
      <c r="I202" s="93">
        <f t="shared" si="42"/>
        <v>0</v>
      </c>
      <c r="J202" s="95" t="e">
        <f t="shared" si="61"/>
        <v>#DIV/0!</v>
      </c>
      <c r="K202" s="95" t="e">
        <f t="shared" si="62"/>
        <v>#DIV/0!</v>
      </c>
      <c r="T202" s="96" t="e">
        <f t="shared" si="56"/>
        <v>#DIV/0!</v>
      </c>
      <c r="V202" s="96" t="e">
        <f t="shared" si="57"/>
        <v>#DIV/0!</v>
      </c>
      <c r="X202" s="96" t="e">
        <f t="shared" si="70"/>
        <v>#DIV/0!</v>
      </c>
      <c r="Z202" s="96" t="e">
        <f t="shared" si="71"/>
        <v>#DIV/0!</v>
      </c>
      <c r="AC202" s="105">
        <f t="shared" si="54"/>
        <v>0</v>
      </c>
      <c r="AF202" s="49">
        <f t="shared" si="64"/>
        <v>0</v>
      </c>
      <c r="AI202" s="109">
        <f t="shared" si="67"/>
        <v>0</v>
      </c>
      <c r="AL202" s="27">
        <f t="shared" si="66"/>
        <v>0</v>
      </c>
      <c r="AP202" s="106">
        <f t="shared" si="65"/>
        <v>0</v>
      </c>
      <c r="AS202" s="118" t="e">
        <f t="shared" si="58"/>
        <v>#DIV/0!</v>
      </c>
      <c r="AT202" s="118" t="e">
        <f t="shared" si="59"/>
        <v>#DIV/0!</v>
      </c>
      <c r="BB202" s="106">
        <f t="shared" si="72"/>
        <v>0</v>
      </c>
      <c r="BD202" s="50"/>
      <c r="BF202" s="106">
        <f t="shared" si="73"/>
        <v>0</v>
      </c>
      <c r="BG202" s="23"/>
      <c r="BH202" s="23"/>
      <c r="BL202" s="114">
        <f t="shared" si="63"/>
        <v>0</v>
      </c>
    </row>
    <row r="203" spans="1:64" x14ac:dyDescent="0.2">
      <c r="A203" s="13" t="str">
        <f t="shared" si="68"/>
        <v>2017Q2</v>
      </c>
      <c r="B203" s="11">
        <f t="shared" si="55"/>
        <v>2017</v>
      </c>
      <c r="C203" s="11" t="s">
        <v>2</v>
      </c>
      <c r="F203" s="87">
        <f t="shared" si="69"/>
        <v>0</v>
      </c>
      <c r="I203" s="93">
        <f t="shared" si="42"/>
        <v>0</v>
      </c>
      <c r="J203" s="95" t="e">
        <f t="shared" si="61"/>
        <v>#DIV/0!</v>
      </c>
      <c r="K203" s="95" t="e">
        <f t="shared" si="62"/>
        <v>#DIV/0!</v>
      </c>
      <c r="T203" s="96" t="e">
        <f t="shared" si="56"/>
        <v>#DIV/0!</v>
      </c>
      <c r="V203" s="96" t="e">
        <f t="shared" si="57"/>
        <v>#DIV/0!</v>
      </c>
      <c r="X203" s="96" t="e">
        <f t="shared" si="70"/>
        <v>#DIV/0!</v>
      </c>
      <c r="Z203" s="96" t="e">
        <f t="shared" si="71"/>
        <v>#DIV/0!</v>
      </c>
      <c r="AC203" s="105">
        <f t="shared" ref="AC203:AC234" si="74">IF(AA203=":",Q203+AB203,Q203++R203+AA203+AB203)</f>
        <v>0</v>
      </c>
      <c r="AF203" s="49">
        <f t="shared" si="64"/>
        <v>0</v>
      </c>
      <c r="AI203" s="109">
        <f t="shared" si="67"/>
        <v>0</v>
      </c>
      <c r="AL203" s="27">
        <f t="shared" si="66"/>
        <v>0</v>
      </c>
      <c r="AP203" s="106">
        <f t="shared" si="65"/>
        <v>0</v>
      </c>
      <c r="AS203" s="118" t="e">
        <f t="shared" si="58"/>
        <v>#DIV/0!</v>
      </c>
      <c r="AT203" s="118" t="e">
        <f t="shared" si="59"/>
        <v>#DIV/0!</v>
      </c>
      <c r="BB203" s="106">
        <f t="shared" si="72"/>
        <v>0</v>
      </c>
      <c r="BD203" s="50"/>
      <c r="BF203" s="106">
        <f t="shared" si="73"/>
        <v>0</v>
      </c>
      <c r="BG203" s="23"/>
      <c r="BH203" s="23"/>
      <c r="BL203" s="114">
        <f t="shared" si="63"/>
        <v>0</v>
      </c>
    </row>
    <row r="204" spans="1:64" x14ac:dyDescent="0.2">
      <c r="A204" s="13" t="str">
        <f t="shared" si="68"/>
        <v>2017Q3</v>
      </c>
      <c r="B204" s="11">
        <f t="shared" si="55"/>
        <v>2017</v>
      </c>
      <c r="C204" s="11" t="s">
        <v>3</v>
      </c>
      <c r="F204" s="87">
        <f t="shared" si="69"/>
        <v>0</v>
      </c>
      <c r="I204" s="93">
        <f t="shared" si="42"/>
        <v>0</v>
      </c>
      <c r="J204" s="95" t="e">
        <f t="shared" si="61"/>
        <v>#DIV/0!</v>
      </c>
      <c r="K204" s="95" t="e">
        <f t="shared" si="62"/>
        <v>#DIV/0!</v>
      </c>
      <c r="T204" s="96" t="e">
        <f t="shared" si="56"/>
        <v>#DIV/0!</v>
      </c>
      <c r="V204" s="96" t="e">
        <f t="shared" si="57"/>
        <v>#DIV/0!</v>
      </c>
      <c r="X204" s="96" t="e">
        <f t="shared" si="70"/>
        <v>#DIV/0!</v>
      </c>
      <c r="Z204" s="96" t="e">
        <f t="shared" si="71"/>
        <v>#DIV/0!</v>
      </c>
      <c r="AC204" s="105">
        <f t="shared" si="74"/>
        <v>0</v>
      </c>
      <c r="AF204" s="49">
        <f t="shared" si="64"/>
        <v>0</v>
      </c>
      <c r="AI204" s="109">
        <f t="shared" si="67"/>
        <v>0</v>
      </c>
      <c r="AL204" s="27">
        <f t="shared" si="66"/>
        <v>0</v>
      </c>
      <c r="AP204" s="106">
        <f t="shared" si="65"/>
        <v>0</v>
      </c>
      <c r="AS204" s="118" t="e">
        <f t="shared" si="58"/>
        <v>#DIV/0!</v>
      </c>
      <c r="AT204" s="118" t="e">
        <f t="shared" si="59"/>
        <v>#DIV/0!</v>
      </c>
      <c r="BB204" s="106">
        <f t="shared" si="72"/>
        <v>0</v>
      </c>
      <c r="BD204" s="50"/>
      <c r="BF204" s="106">
        <f t="shared" si="73"/>
        <v>0</v>
      </c>
      <c r="BG204" s="23"/>
      <c r="BH204" s="23"/>
      <c r="BL204" s="114">
        <f t="shared" si="63"/>
        <v>0</v>
      </c>
    </row>
    <row r="205" spans="1:64" x14ac:dyDescent="0.2">
      <c r="A205" s="13" t="str">
        <f t="shared" si="68"/>
        <v>2017Q4</v>
      </c>
      <c r="B205" s="11">
        <f t="shared" si="55"/>
        <v>2017</v>
      </c>
      <c r="C205" s="11" t="s">
        <v>4</v>
      </c>
      <c r="F205" s="87">
        <f t="shared" si="69"/>
        <v>0</v>
      </c>
      <c r="I205" s="93">
        <f t="shared" si="42"/>
        <v>0</v>
      </c>
      <c r="J205" s="95" t="e">
        <f t="shared" si="61"/>
        <v>#DIV/0!</v>
      </c>
      <c r="K205" s="95" t="e">
        <f t="shared" si="62"/>
        <v>#DIV/0!</v>
      </c>
      <c r="T205" s="96" t="e">
        <f t="shared" si="56"/>
        <v>#DIV/0!</v>
      </c>
      <c r="V205" s="96" t="e">
        <f t="shared" si="57"/>
        <v>#DIV/0!</v>
      </c>
      <c r="X205" s="96" t="e">
        <f t="shared" si="70"/>
        <v>#DIV/0!</v>
      </c>
      <c r="Z205" s="96" t="e">
        <f t="shared" si="71"/>
        <v>#DIV/0!</v>
      </c>
      <c r="AC205" s="105">
        <f t="shared" si="74"/>
        <v>0</v>
      </c>
      <c r="AF205" s="49">
        <f t="shared" si="64"/>
        <v>0</v>
      </c>
      <c r="AI205" s="109">
        <f t="shared" si="67"/>
        <v>0</v>
      </c>
      <c r="AL205" s="27">
        <f t="shared" si="66"/>
        <v>0</v>
      </c>
      <c r="AP205" s="106">
        <f t="shared" si="65"/>
        <v>0</v>
      </c>
      <c r="AS205" s="118" t="e">
        <f t="shared" si="58"/>
        <v>#DIV/0!</v>
      </c>
      <c r="AT205" s="118" t="e">
        <f t="shared" si="59"/>
        <v>#DIV/0!</v>
      </c>
      <c r="BB205" s="106">
        <f t="shared" si="72"/>
        <v>0</v>
      </c>
      <c r="BD205" s="50"/>
      <c r="BF205" s="106">
        <f t="shared" si="73"/>
        <v>0</v>
      </c>
      <c r="BG205" s="23"/>
      <c r="BH205" s="23"/>
      <c r="BL205" s="114">
        <f t="shared" si="63"/>
        <v>0</v>
      </c>
    </row>
    <row r="206" spans="1:64" x14ac:dyDescent="0.2">
      <c r="A206" s="13" t="str">
        <f t="shared" si="68"/>
        <v>2018Q1</v>
      </c>
      <c r="B206" s="11">
        <f t="shared" ref="B206:B237" si="75">B202+1</f>
        <v>2018</v>
      </c>
      <c r="C206" s="11" t="s">
        <v>1</v>
      </c>
      <c r="F206" s="87">
        <f t="shared" si="69"/>
        <v>0</v>
      </c>
      <c r="I206" s="93">
        <f t="shared" ref="I206:I269" si="76">H206-G206</f>
        <v>0</v>
      </c>
      <c r="J206" s="95" t="e">
        <f t="shared" si="61"/>
        <v>#DIV/0!</v>
      </c>
      <c r="K206" s="95" t="e">
        <f t="shared" si="62"/>
        <v>#DIV/0!</v>
      </c>
      <c r="T206" s="96" t="e">
        <f t="shared" ref="T206:T237" si="77">S206/$Q206*100</f>
        <v>#DIV/0!</v>
      </c>
      <c r="V206" s="96" t="e">
        <f t="shared" ref="V206:V237" si="78">U206/$Q206*100</f>
        <v>#DIV/0!</v>
      </c>
      <c r="X206" s="96" t="e">
        <f t="shared" si="70"/>
        <v>#DIV/0!</v>
      </c>
      <c r="Z206" s="96" t="e">
        <f t="shared" si="71"/>
        <v>#DIV/0!</v>
      </c>
      <c r="AC206" s="105">
        <f t="shared" si="74"/>
        <v>0</v>
      </c>
      <c r="AF206" s="49">
        <f t="shared" si="64"/>
        <v>0</v>
      </c>
      <c r="AI206" s="109">
        <f t="shared" si="67"/>
        <v>0</v>
      </c>
      <c r="AL206" s="27">
        <f t="shared" si="66"/>
        <v>0</v>
      </c>
      <c r="AP206" s="106">
        <f t="shared" si="65"/>
        <v>0</v>
      </c>
      <c r="AS206" s="118" t="e">
        <f t="shared" ref="AS206:AS237" si="79">4*(SUM($AP203:$AP206)/SUM(AQ203:AQ206))*100</f>
        <v>#DIV/0!</v>
      </c>
      <c r="AT206" s="118" t="e">
        <f t="shared" ref="AT206:AT237" si="80">4*(SUM($AP203:$AP206)/SUM(AR203:AR206))*100</f>
        <v>#DIV/0!</v>
      </c>
      <c r="BB206" s="106">
        <f t="shared" si="72"/>
        <v>0</v>
      </c>
      <c r="BD206" s="50"/>
      <c r="BF206" s="106">
        <f t="shared" si="73"/>
        <v>0</v>
      </c>
      <c r="BG206" s="23"/>
      <c r="BH206" s="23"/>
      <c r="BL206" s="114">
        <f t="shared" si="63"/>
        <v>0</v>
      </c>
    </row>
    <row r="207" spans="1:64" x14ac:dyDescent="0.2">
      <c r="A207" s="13" t="str">
        <f t="shared" si="68"/>
        <v>2018Q2</v>
      </c>
      <c r="B207" s="11">
        <f t="shared" si="75"/>
        <v>2018</v>
      </c>
      <c r="C207" s="11" t="s">
        <v>2</v>
      </c>
      <c r="F207" s="87">
        <f t="shared" si="69"/>
        <v>0</v>
      </c>
      <c r="I207" s="93">
        <f t="shared" si="76"/>
        <v>0</v>
      </c>
      <c r="J207" s="95" t="e">
        <f t="shared" si="61"/>
        <v>#DIV/0!</v>
      </c>
      <c r="K207" s="95" t="e">
        <f t="shared" si="62"/>
        <v>#DIV/0!</v>
      </c>
      <c r="T207" s="96" t="e">
        <f t="shared" si="77"/>
        <v>#DIV/0!</v>
      </c>
      <c r="V207" s="96" t="e">
        <f t="shared" si="78"/>
        <v>#DIV/0!</v>
      </c>
      <c r="X207" s="96" t="e">
        <f t="shared" si="70"/>
        <v>#DIV/0!</v>
      </c>
      <c r="Z207" s="96" t="e">
        <f t="shared" si="71"/>
        <v>#DIV/0!</v>
      </c>
      <c r="AC207" s="105">
        <f t="shared" si="74"/>
        <v>0</v>
      </c>
      <c r="AF207" s="49">
        <f t="shared" si="64"/>
        <v>0</v>
      </c>
      <c r="AI207" s="109">
        <f t="shared" si="67"/>
        <v>0</v>
      </c>
      <c r="AL207" s="27">
        <f t="shared" si="66"/>
        <v>0</v>
      </c>
      <c r="AP207" s="106">
        <f t="shared" si="65"/>
        <v>0</v>
      </c>
      <c r="AS207" s="118" t="e">
        <f t="shared" si="79"/>
        <v>#DIV/0!</v>
      </c>
      <c r="AT207" s="118" t="e">
        <f t="shared" si="80"/>
        <v>#DIV/0!</v>
      </c>
      <c r="BB207" s="106">
        <f t="shared" si="72"/>
        <v>0</v>
      </c>
      <c r="BD207" s="50"/>
      <c r="BF207" s="106">
        <f t="shared" si="73"/>
        <v>0</v>
      </c>
      <c r="BG207" s="23"/>
      <c r="BH207" s="23"/>
      <c r="BL207" s="114">
        <f t="shared" si="63"/>
        <v>0</v>
      </c>
    </row>
    <row r="208" spans="1:64" x14ac:dyDescent="0.2">
      <c r="A208" s="13" t="str">
        <f t="shared" si="68"/>
        <v>2018Q3</v>
      </c>
      <c r="B208" s="11">
        <f t="shared" si="75"/>
        <v>2018</v>
      </c>
      <c r="C208" s="11" t="s">
        <v>3</v>
      </c>
      <c r="F208" s="87">
        <f t="shared" si="69"/>
        <v>0</v>
      </c>
      <c r="I208" s="93">
        <f t="shared" si="76"/>
        <v>0</v>
      </c>
      <c r="J208" s="95" t="e">
        <f t="shared" si="61"/>
        <v>#DIV/0!</v>
      </c>
      <c r="K208" s="95" t="e">
        <f t="shared" si="62"/>
        <v>#DIV/0!</v>
      </c>
      <c r="T208" s="96" t="e">
        <f t="shared" si="77"/>
        <v>#DIV/0!</v>
      </c>
      <c r="V208" s="96" t="e">
        <f t="shared" si="78"/>
        <v>#DIV/0!</v>
      </c>
      <c r="X208" s="96" t="e">
        <f t="shared" si="70"/>
        <v>#DIV/0!</v>
      </c>
      <c r="Z208" s="96" t="e">
        <f t="shared" si="71"/>
        <v>#DIV/0!</v>
      </c>
      <c r="AC208" s="105">
        <f t="shared" si="74"/>
        <v>0</v>
      </c>
      <c r="AF208" s="49">
        <f t="shared" si="64"/>
        <v>0</v>
      </c>
      <c r="AI208" s="109">
        <f t="shared" si="67"/>
        <v>0</v>
      </c>
      <c r="AL208" s="27">
        <f t="shared" si="66"/>
        <v>0</v>
      </c>
      <c r="AP208" s="106">
        <f t="shared" si="65"/>
        <v>0</v>
      </c>
      <c r="AS208" s="118" t="e">
        <f t="shared" si="79"/>
        <v>#DIV/0!</v>
      </c>
      <c r="AT208" s="118" t="e">
        <f t="shared" si="80"/>
        <v>#DIV/0!</v>
      </c>
      <c r="BB208" s="106">
        <f t="shared" si="72"/>
        <v>0</v>
      </c>
      <c r="BD208" s="50"/>
      <c r="BF208" s="106">
        <f t="shared" si="73"/>
        <v>0</v>
      </c>
      <c r="BG208" s="23"/>
      <c r="BH208" s="23"/>
      <c r="BL208" s="114">
        <f t="shared" si="63"/>
        <v>0</v>
      </c>
    </row>
    <row r="209" spans="1:64" x14ac:dyDescent="0.2">
      <c r="A209" s="13" t="str">
        <f t="shared" si="68"/>
        <v>2018Q4</v>
      </c>
      <c r="B209" s="11">
        <f t="shared" si="75"/>
        <v>2018</v>
      </c>
      <c r="C209" s="11" t="s">
        <v>4</v>
      </c>
      <c r="F209" s="87">
        <f t="shared" si="69"/>
        <v>0</v>
      </c>
      <c r="I209" s="93">
        <f t="shared" si="76"/>
        <v>0</v>
      </c>
      <c r="J209" s="95" t="e">
        <f t="shared" si="61"/>
        <v>#DIV/0!</v>
      </c>
      <c r="K209" s="95" t="e">
        <f t="shared" si="62"/>
        <v>#DIV/0!</v>
      </c>
      <c r="T209" s="96" t="e">
        <f t="shared" si="77"/>
        <v>#DIV/0!</v>
      </c>
      <c r="V209" s="96" t="e">
        <f t="shared" si="78"/>
        <v>#DIV/0!</v>
      </c>
      <c r="X209" s="96" t="e">
        <f t="shared" si="70"/>
        <v>#DIV/0!</v>
      </c>
      <c r="Z209" s="96" t="e">
        <f t="shared" si="71"/>
        <v>#DIV/0!</v>
      </c>
      <c r="AC209" s="105">
        <f t="shared" si="74"/>
        <v>0</v>
      </c>
      <c r="AF209" s="49">
        <f t="shared" si="64"/>
        <v>0</v>
      </c>
      <c r="AI209" s="109">
        <f t="shared" si="67"/>
        <v>0</v>
      </c>
      <c r="AL209" s="27">
        <f t="shared" si="66"/>
        <v>0</v>
      </c>
      <c r="AP209" s="106">
        <f t="shared" si="65"/>
        <v>0</v>
      </c>
      <c r="AS209" s="118" t="e">
        <f t="shared" si="79"/>
        <v>#DIV/0!</v>
      </c>
      <c r="AT209" s="118" t="e">
        <f t="shared" si="80"/>
        <v>#DIV/0!</v>
      </c>
      <c r="BB209" s="106">
        <f t="shared" si="72"/>
        <v>0</v>
      </c>
      <c r="BD209" s="50"/>
      <c r="BF209" s="106">
        <f t="shared" si="73"/>
        <v>0</v>
      </c>
      <c r="BG209" s="23"/>
      <c r="BH209" s="23"/>
      <c r="BL209" s="114">
        <f t="shared" si="63"/>
        <v>0</v>
      </c>
    </row>
    <row r="210" spans="1:64" x14ac:dyDescent="0.2">
      <c r="A210" s="13" t="str">
        <f t="shared" si="68"/>
        <v>2019Q1</v>
      </c>
      <c r="B210" s="11">
        <f t="shared" si="75"/>
        <v>2019</v>
      </c>
      <c r="C210" s="11" t="s">
        <v>1</v>
      </c>
      <c r="F210" s="87">
        <f t="shared" si="69"/>
        <v>0</v>
      </c>
      <c r="I210" s="93">
        <f t="shared" si="76"/>
        <v>0</v>
      </c>
      <c r="J210" s="95" t="e">
        <f t="shared" si="61"/>
        <v>#DIV/0!</v>
      </c>
      <c r="K210" s="95" t="e">
        <f t="shared" si="62"/>
        <v>#DIV/0!</v>
      </c>
      <c r="T210" s="96" t="e">
        <f t="shared" si="77"/>
        <v>#DIV/0!</v>
      </c>
      <c r="V210" s="96" t="e">
        <f t="shared" si="78"/>
        <v>#DIV/0!</v>
      </c>
      <c r="X210" s="96" t="e">
        <f t="shared" si="70"/>
        <v>#DIV/0!</v>
      </c>
      <c r="Z210" s="96" t="e">
        <f t="shared" si="71"/>
        <v>#DIV/0!</v>
      </c>
      <c r="AC210" s="105">
        <f t="shared" si="74"/>
        <v>0</v>
      </c>
      <c r="AF210" s="49">
        <f t="shared" si="64"/>
        <v>0</v>
      </c>
      <c r="AI210" s="109">
        <f t="shared" si="67"/>
        <v>0</v>
      </c>
      <c r="AL210" s="27">
        <f t="shared" si="66"/>
        <v>0</v>
      </c>
      <c r="AP210" s="106">
        <f t="shared" si="65"/>
        <v>0</v>
      </c>
      <c r="AS210" s="118" t="e">
        <f t="shared" si="79"/>
        <v>#DIV/0!</v>
      </c>
      <c r="AT210" s="118" t="e">
        <f t="shared" si="80"/>
        <v>#DIV/0!</v>
      </c>
      <c r="BB210" s="106">
        <f t="shared" si="72"/>
        <v>0</v>
      </c>
      <c r="BD210" s="50"/>
      <c r="BF210" s="106">
        <f t="shared" si="73"/>
        <v>0</v>
      </c>
      <c r="BG210" s="23"/>
      <c r="BH210" s="23"/>
      <c r="BL210" s="114">
        <f t="shared" si="63"/>
        <v>0</v>
      </c>
    </row>
    <row r="211" spans="1:64" x14ac:dyDescent="0.2">
      <c r="A211" s="13" t="str">
        <f t="shared" si="68"/>
        <v>2019Q2</v>
      </c>
      <c r="B211" s="11">
        <f t="shared" si="75"/>
        <v>2019</v>
      </c>
      <c r="C211" s="11" t="s">
        <v>2</v>
      </c>
      <c r="F211" s="87">
        <f t="shared" si="69"/>
        <v>0</v>
      </c>
      <c r="I211" s="93">
        <f t="shared" si="76"/>
        <v>0</v>
      </c>
      <c r="J211" s="95" t="e">
        <f t="shared" si="61"/>
        <v>#DIV/0!</v>
      </c>
      <c r="K211" s="95" t="e">
        <f t="shared" si="62"/>
        <v>#DIV/0!</v>
      </c>
      <c r="T211" s="96" t="e">
        <f t="shared" si="77"/>
        <v>#DIV/0!</v>
      </c>
      <c r="V211" s="96" t="e">
        <f t="shared" si="78"/>
        <v>#DIV/0!</v>
      </c>
      <c r="X211" s="96" t="e">
        <f t="shared" si="70"/>
        <v>#DIV/0!</v>
      </c>
      <c r="Z211" s="96" t="e">
        <f t="shared" si="71"/>
        <v>#DIV/0!</v>
      </c>
      <c r="AC211" s="105">
        <f t="shared" si="74"/>
        <v>0</v>
      </c>
      <c r="AF211" s="49">
        <f t="shared" si="64"/>
        <v>0</v>
      </c>
      <c r="AI211" s="109">
        <f t="shared" si="67"/>
        <v>0</v>
      </c>
      <c r="AL211" s="27">
        <f t="shared" si="66"/>
        <v>0</v>
      </c>
      <c r="AP211" s="106">
        <f t="shared" si="65"/>
        <v>0</v>
      </c>
      <c r="AS211" s="118" t="e">
        <f t="shared" si="79"/>
        <v>#DIV/0!</v>
      </c>
      <c r="AT211" s="118" t="e">
        <f t="shared" si="80"/>
        <v>#DIV/0!</v>
      </c>
      <c r="BB211" s="106">
        <f t="shared" si="72"/>
        <v>0</v>
      </c>
      <c r="BD211" s="50"/>
      <c r="BF211" s="106">
        <f t="shared" si="73"/>
        <v>0</v>
      </c>
      <c r="BG211" s="23"/>
      <c r="BH211" s="23"/>
      <c r="BL211" s="114">
        <f t="shared" si="63"/>
        <v>0</v>
      </c>
    </row>
    <row r="212" spans="1:64" x14ac:dyDescent="0.2">
      <c r="A212" s="13" t="str">
        <f t="shared" si="68"/>
        <v>2019Q3</v>
      </c>
      <c r="B212" s="11">
        <f t="shared" si="75"/>
        <v>2019</v>
      </c>
      <c r="C212" s="11" t="s">
        <v>3</v>
      </c>
      <c r="F212" s="87">
        <f t="shared" si="69"/>
        <v>0</v>
      </c>
      <c r="I212" s="93">
        <f t="shared" si="76"/>
        <v>0</v>
      </c>
      <c r="J212" s="95" t="e">
        <f t="shared" ref="J212:J243" si="81">SUM(F209:F212,O209:O212)/AVERAGE(G209:G212)*100</f>
        <v>#DIV/0!</v>
      </c>
      <c r="K212" s="95" t="e">
        <f t="shared" ref="K212:K243" si="82">SUM(F209:F212,O209:O212)/AVERAGE(H209:H212)*100</f>
        <v>#DIV/0!</v>
      </c>
      <c r="T212" s="96" t="e">
        <f t="shared" si="77"/>
        <v>#DIV/0!</v>
      </c>
      <c r="V212" s="96" t="e">
        <f t="shared" si="78"/>
        <v>#DIV/0!</v>
      </c>
      <c r="X212" s="96" t="e">
        <f t="shared" si="70"/>
        <v>#DIV/0!</v>
      </c>
      <c r="Z212" s="96" t="e">
        <f t="shared" si="71"/>
        <v>#DIV/0!</v>
      </c>
      <c r="AC212" s="105">
        <f t="shared" si="74"/>
        <v>0</v>
      </c>
      <c r="AF212" s="49">
        <f t="shared" si="64"/>
        <v>0</v>
      </c>
      <c r="AI212" s="109">
        <f t="shared" si="67"/>
        <v>0</v>
      </c>
      <c r="AL212" s="27">
        <f t="shared" si="66"/>
        <v>0</v>
      </c>
      <c r="AP212" s="106">
        <f t="shared" si="65"/>
        <v>0</v>
      </c>
      <c r="AS212" s="118" t="e">
        <f t="shared" si="79"/>
        <v>#DIV/0!</v>
      </c>
      <c r="AT212" s="118" t="e">
        <f t="shared" si="80"/>
        <v>#DIV/0!</v>
      </c>
      <c r="BB212" s="106">
        <f t="shared" si="72"/>
        <v>0</v>
      </c>
      <c r="BD212" s="50"/>
      <c r="BF212" s="106">
        <f t="shared" si="73"/>
        <v>0</v>
      </c>
      <c r="BG212" s="23"/>
      <c r="BH212" s="23"/>
      <c r="BL212" s="114">
        <f t="shared" ref="BL212:BL243" si="83">BI212+BJ212+BK212</f>
        <v>0</v>
      </c>
    </row>
    <row r="213" spans="1:64" x14ac:dyDescent="0.2">
      <c r="A213" s="13" t="str">
        <f t="shared" si="68"/>
        <v>2019Q4</v>
      </c>
      <c r="B213" s="11">
        <f t="shared" si="75"/>
        <v>2019</v>
      </c>
      <c r="C213" s="11" t="s">
        <v>4</v>
      </c>
      <c r="F213" s="87">
        <f t="shared" si="69"/>
        <v>0</v>
      </c>
      <c r="I213" s="93">
        <f t="shared" si="76"/>
        <v>0</v>
      </c>
      <c r="J213" s="95" t="e">
        <f t="shared" si="81"/>
        <v>#DIV/0!</v>
      </c>
      <c r="K213" s="95" t="e">
        <f t="shared" si="82"/>
        <v>#DIV/0!</v>
      </c>
      <c r="T213" s="96" t="e">
        <f t="shared" si="77"/>
        <v>#DIV/0!</v>
      </c>
      <c r="V213" s="96" t="e">
        <f t="shared" si="78"/>
        <v>#DIV/0!</v>
      </c>
      <c r="X213" s="96" t="e">
        <f t="shared" si="70"/>
        <v>#DIV/0!</v>
      </c>
      <c r="Z213" s="96" t="e">
        <f t="shared" si="71"/>
        <v>#DIV/0!</v>
      </c>
      <c r="AC213" s="105">
        <f t="shared" si="74"/>
        <v>0</v>
      </c>
      <c r="AF213" s="49">
        <f t="shared" si="64"/>
        <v>0</v>
      </c>
      <c r="AI213" s="109">
        <f t="shared" si="67"/>
        <v>0</v>
      </c>
      <c r="AL213" s="27">
        <f t="shared" si="66"/>
        <v>0</v>
      </c>
      <c r="AP213" s="106">
        <f t="shared" si="65"/>
        <v>0</v>
      </c>
      <c r="AS213" s="118" t="e">
        <f t="shared" si="79"/>
        <v>#DIV/0!</v>
      </c>
      <c r="AT213" s="118" t="e">
        <f t="shared" si="80"/>
        <v>#DIV/0!</v>
      </c>
      <c r="BB213" s="106">
        <f t="shared" si="72"/>
        <v>0</v>
      </c>
      <c r="BD213" s="50"/>
      <c r="BF213" s="106">
        <f t="shared" si="73"/>
        <v>0</v>
      </c>
      <c r="BG213" s="23"/>
      <c r="BH213" s="23"/>
      <c r="BL213" s="114">
        <f t="shared" si="83"/>
        <v>0</v>
      </c>
    </row>
    <row r="214" spans="1:64" x14ac:dyDescent="0.2">
      <c r="A214" s="13" t="str">
        <f t="shared" si="68"/>
        <v>2020Q1</v>
      </c>
      <c r="B214" s="11">
        <f t="shared" si="75"/>
        <v>2020</v>
      </c>
      <c r="C214" s="11" t="s">
        <v>1</v>
      </c>
      <c r="F214" s="87">
        <f t="shared" si="69"/>
        <v>0</v>
      </c>
      <c r="I214" s="93">
        <f t="shared" si="76"/>
        <v>0</v>
      </c>
      <c r="J214" s="95" t="e">
        <f t="shared" si="81"/>
        <v>#DIV/0!</v>
      </c>
      <c r="K214" s="95" t="e">
        <f t="shared" si="82"/>
        <v>#DIV/0!</v>
      </c>
      <c r="T214" s="96" t="e">
        <f t="shared" si="77"/>
        <v>#DIV/0!</v>
      </c>
      <c r="V214" s="96" t="e">
        <f t="shared" si="78"/>
        <v>#DIV/0!</v>
      </c>
      <c r="X214" s="96" t="e">
        <f t="shared" si="70"/>
        <v>#DIV/0!</v>
      </c>
      <c r="Z214" s="96" t="e">
        <f t="shared" si="71"/>
        <v>#DIV/0!</v>
      </c>
      <c r="AC214" s="105">
        <f t="shared" si="74"/>
        <v>0</v>
      </c>
      <c r="AF214" s="49">
        <f t="shared" ref="AF214:AF245" si="84">AD214+AE214</f>
        <v>0</v>
      </c>
      <c r="AI214" s="109">
        <f t="shared" si="67"/>
        <v>0</v>
      </c>
      <c r="AL214" s="27">
        <f t="shared" si="66"/>
        <v>0</v>
      </c>
      <c r="AP214" s="106">
        <f t="shared" si="65"/>
        <v>0</v>
      </c>
      <c r="AS214" s="118" t="e">
        <f t="shared" si="79"/>
        <v>#DIV/0!</v>
      </c>
      <c r="AT214" s="118" t="e">
        <f t="shared" si="80"/>
        <v>#DIV/0!</v>
      </c>
      <c r="BB214" s="106">
        <f t="shared" si="72"/>
        <v>0</v>
      </c>
      <c r="BD214" s="50"/>
      <c r="BF214" s="106">
        <f t="shared" si="73"/>
        <v>0</v>
      </c>
      <c r="BG214" s="23"/>
      <c r="BH214" s="23"/>
      <c r="BL214" s="114">
        <f t="shared" si="83"/>
        <v>0</v>
      </c>
    </row>
    <row r="215" spans="1:64" x14ac:dyDescent="0.2">
      <c r="A215" s="13" t="str">
        <f t="shared" si="68"/>
        <v>2020Q2</v>
      </c>
      <c r="B215" s="11">
        <f t="shared" si="75"/>
        <v>2020</v>
      </c>
      <c r="C215" s="11" t="s">
        <v>2</v>
      </c>
      <c r="F215" s="87">
        <f t="shared" si="69"/>
        <v>0</v>
      </c>
      <c r="I215" s="93">
        <f t="shared" si="76"/>
        <v>0</v>
      </c>
      <c r="J215" s="95" t="e">
        <f t="shared" si="81"/>
        <v>#DIV/0!</v>
      </c>
      <c r="K215" s="95" t="e">
        <f t="shared" si="82"/>
        <v>#DIV/0!</v>
      </c>
      <c r="T215" s="96" t="e">
        <f t="shared" si="77"/>
        <v>#DIV/0!</v>
      </c>
      <c r="V215" s="96" t="e">
        <f t="shared" si="78"/>
        <v>#DIV/0!</v>
      </c>
      <c r="X215" s="96" t="e">
        <f t="shared" si="70"/>
        <v>#DIV/0!</v>
      </c>
      <c r="Z215" s="96" t="e">
        <f t="shared" si="71"/>
        <v>#DIV/0!</v>
      </c>
      <c r="AC215" s="105">
        <f t="shared" si="74"/>
        <v>0</v>
      </c>
      <c r="AF215" s="49">
        <f t="shared" si="84"/>
        <v>0</v>
      </c>
      <c r="AI215" s="109">
        <f t="shared" si="67"/>
        <v>0</v>
      </c>
      <c r="AL215" s="27">
        <f t="shared" si="66"/>
        <v>0</v>
      </c>
      <c r="AP215" s="106">
        <f t="shared" si="65"/>
        <v>0</v>
      </c>
      <c r="AS215" s="118" t="e">
        <f t="shared" si="79"/>
        <v>#DIV/0!</v>
      </c>
      <c r="AT215" s="118" t="e">
        <f t="shared" si="80"/>
        <v>#DIV/0!</v>
      </c>
      <c r="BB215" s="106">
        <f t="shared" si="72"/>
        <v>0</v>
      </c>
      <c r="BD215" s="50"/>
      <c r="BF215" s="106">
        <f t="shared" si="73"/>
        <v>0</v>
      </c>
      <c r="BG215" s="23"/>
      <c r="BH215" s="23"/>
      <c r="BL215" s="114">
        <f t="shared" si="83"/>
        <v>0</v>
      </c>
    </row>
    <row r="216" spans="1:64" x14ac:dyDescent="0.2">
      <c r="A216" s="13" t="str">
        <f t="shared" si="68"/>
        <v>2020Q3</v>
      </c>
      <c r="B216" s="11">
        <f t="shared" si="75"/>
        <v>2020</v>
      </c>
      <c r="C216" s="11" t="s">
        <v>3</v>
      </c>
      <c r="F216" s="87">
        <f t="shared" si="69"/>
        <v>0</v>
      </c>
      <c r="I216" s="93">
        <f t="shared" si="76"/>
        <v>0</v>
      </c>
      <c r="J216" s="95" t="e">
        <f t="shared" si="81"/>
        <v>#DIV/0!</v>
      </c>
      <c r="K216" s="95" t="e">
        <f t="shared" si="82"/>
        <v>#DIV/0!</v>
      </c>
      <c r="T216" s="96" t="e">
        <f t="shared" si="77"/>
        <v>#DIV/0!</v>
      </c>
      <c r="V216" s="96" t="e">
        <f t="shared" si="78"/>
        <v>#DIV/0!</v>
      </c>
      <c r="X216" s="96" t="e">
        <f t="shared" si="70"/>
        <v>#DIV/0!</v>
      </c>
      <c r="Z216" s="96" t="e">
        <f t="shared" si="71"/>
        <v>#DIV/0!</v>
      </c>
      <c r="AC216" s="105">
        <f t="shared" si="74"/>
        <v>0</v>
      </c>
      <c r="AF216" s="49">
        <f t="shared" si="84"/>
        <v>0</v>
      </c>
      <c r="AI216" s="109">
        <f t="shared" si="67"/>
        <v>0</v>
      </c>
      <c r="AL216" s="27">
        <f t="shared" si="66"/>
        <v>0</v>
      </c>
      <c r="AP216" s="106">
        <f t="shared" si="65"/>
        <v>0</v>
      </c>
      <c r="AS216" s="118" t="e">
        <f t="shared" si="79"/>
        <v>#DIV/0!</v>
      </c>
      <c r="AT216" s="118" t="e">
        <f t="shared" si="80"/>
        <v>#DIV/0!</v>
      </c>
      <c r="BB216" s="106">
        <f t="shared" si="72"/>
        <v>0</v>
      </c>
      <c r="BD216" s="50"/>
      <c r="BF216" s="106">
        <f t="shared" si="73"/>
        <v>0</v>
      </c>
      <c r="BG216" s="23"/>
      <c r="BH216" s="23"/>
      <c r="BL216" s="114">
        <f t="shared" si="83"/>
        <v>0</v>
      </c>
    </row>
    <row r="217" spans="1:64" x14ac:dyDescent="0.2">
      <c r="A217" s="13" t="str">
        <f t="shared" si="68"/>
        <v>2020Q4</v>
      </c>
      <c r="B217" s="11">
        <f t="shared" si="75"/>
        <v>2020</v>
      </c>
      <c r="C217" s="11" t="s">
        <v>4</v>
      </c>
      <c r="F217" s="87">
        <f t="shared" si="69"/>
        <v>0</v>
      </c>
      <c r="I217" s="93">
        <f t="shared" si="76"/>
        <v>0</v>
      </c>
      <c r="J217" s="95" t="e">
        <f t="shared" si="81"/>
        <v>#DIV/0!</v>
      </c>
      <c r="K217" s="95" t="e">
        <f t="shared" si="82"/>
        <v>#DIV/0!</v>
      </c>
      <c r="T217" s="96" t="e">
        <f t="shared" si="77"/>
        <v>#DIV/0!</v>
      </c>
      <c r="V217" s="96" t="e">
        <f t="shared" si="78"/>
        <v>#DIV/0!</v>
      </c>
      <c r="X217" s="96" t="e">
        <f t="shared" si="70"/>
        <v>#DIV/0!</v>
      </c>
      <c r="Z217" s="96" t="e">
        <f t="shared" si="71"/>
        <v>#DIV/0!</v>
      </c>
      <c r="AC217" s="105">
        <f t="shared" si="74"/>
        <v>0</v>
      </c>
      <c r="AF217" s="49">
        <f t="shared" si="84"/>
        <v>0</v>
      </c>
      <c r="AI217" s="109">
        <f t="shared" si="67"/>
        <v>0</v>
      </c>
      <c r="AL217" s="27">
        <f t="shared" si="66"/>
        <v>0</v>
      </c>
      <c r="AP217" s="106">
        <f t="shared" si="65"/>
        <v>0</v>
      </c>
      <c r="AS217" s="118" t="e">
        <f t="shared" si="79"/>
        <v>#DIV/0!</v>
      </c>
      <c r="AT217" s="118" t="e">
        <f t="shared" si="80"/>
        <v>#DIV/0!</v>
      </c>
      <c r="BB217" s="106">
        <f t="shared" si="72"/>
        <v>0</v>
      </c>
      <c r="BD217" s="50"/>
      <c r="BF217" s="106">
        <f t="shared" si="73"/>
        <v>0</v>
      </c>
      <c r="BG217" s="23"/>
      <c r="BH217" s="23"/>
      <c r="BL217" s="114">
        <f t="shared" si="83"/>
        <v>0</v>
      </c>
    </row>
    <row r="218" spans="1:64" x14ac:dyDescent="0.2">
      <c r="A218" s="13" t="str">
        <f t="shared" si="68"/>
        <v>2021Q1</v>
      </c>
      <c r="B218" s="11">
        <f t="shared" si="75"/>
        <v>2021</v>
      </c>
      <c r="C218" s="11" t="s">
        <v>1</v>
      </c>
      <c r="F218" s="87">
        <f t="shared" si="69"/>
        <v>0</v>
      </c>
      <c r="I218" s="93">
        <f t="shared" si="76"/>
        <v>0</v>
      </c>
      <c r="J218" s="95" t="e">
        <f t="shared" si="81"/>
        <v>#DIV/0!</v>
      </c>
      <c r="K218" s="95" t="e">
        <f t="shared" si="82"/>
        <v>#DIV/0!</v>
      </c>
      <c r="T218" s="96" t="e">
        <f t="shared" si="77"/>
        <v>#DIV/0!</v>
      </c>
      <c r="V218" s="96" t="e">
        <f t="shared" si="78"/>
        <v>#DIV/0!</v>
      </c>
      <c r="X218" s="96" t="e">
        <f t="shared" si="70"/>
        <v>#DIV/0!</v>
      </c>
      <c r="Z218" s="96" t="e">
        <f t="shared" si="71"/>
        <v>#DIV/0!</v>
      </c>
      <c r="AC218" s="105">
        <f t="shared" si="74"/>
        <v>0</v>
      </c>
      <c r="AF218" s="49">
        <f t="shared" si="84"/>
        <v>0</v>
      </c>
      <c r="AI218" s="109">
        <f t="shared" si="67"/>
        <v>0</v>
      </c>
      <c r="AL218" s="27">
        <f t="shared" si="66"/>
        <v>0</v>
      </c>
      <c r="AP218" s="106">
        <f t="shared" si="65"/>
        <v>0</v>
      </c>
      <c r="AS218" s="118" t="e">
        <f t="shared" si="79"/>
        <v>#DIV/0!</v>
      </c>
      <c r="AT218" s="118" t="e">
        <f t="shared" si="80"/>
        <v>#DIV/0!</v>
      </c>
      <c r="BB218" s="106">
        <f t="shared" si="72"/>
        <v>0</v>
      </c>
      <c r="BD218" s="50"/>
      <c r="BF218" s="106">
        <f t="shared" si="73"/>
        <v>0</v>
      </c>
      <c r="BG218" s="23"/>
      <c r="BH218" s="23"/>
      <c r="BL218" s="114">
        <f t="shared" si="83"/>
        <v>0</v>
      </c>
    </row>
    <row r="219" spans="1:64" x14ac:dyDescent="0.2">
      <c r="A219" s="13" t="str">
        <f t="shared" si="68"/>
        <v>2021Q2</v>
      </c>
      <c r="B219" s="11">
        <f t="shared" si="75"/>
        <v>2021</v>
      </c>
      <c r="C219" s="11" t="s">
        <v>2</v>
      </c>
      <c r="F219" s="87">
        <f t="shared" si="69"/>
        <v>0</v>
      </c>
      <c r="I219" s="93">
        <f t="shared" si="76"/>
        <v>0</v>
      </c>
      <c r="J219" s="95" t="e">
        <f t="shared" si="81"/>
        <v>#DIV/0!</v>
      </c>
      <c r="K219" s="95" t="e">
        <f t="shared" si="82"/>
        <v>#DIV/0!</v>
      </c>
      <c r="T219" s="96" t="e">
        <f t="shared" si="77"/>
        <v>#DIV/0!</v>
      </c>
      <c r="V219" s="96" t="e">
        <f t="shared" si="78"/>
        <v>#DIV/0!</v>
      </c>
      <c r="X219" s="96" t="e">
        <f t="shared" si="70"/>
        <v>#DIV/0!</v>
      </c>
      <c r="Z219" s="96" t="e">
        <f t="shared" si="71"/>
        <v>#DIV/0!</v>
      </c>
      <c r="AC219" s="105">
        <f t="shared" si="74"/>
        <v>0</v>
      </c>
      <c r="AF219" s="49">
        <f t="shared" si="84"/>
        <v>0</v>
      </c>
      <c r="AI219" s="109">
        <f t="shared" si="67"/>
        <v>0</v>
      </c>
      <c r="AL219" s="27">
        <f t="shared" ref="AL219:AL250" si="85">AJ219+AK219</f>
        <v>0</v>
      </c>
      <c r="AP219" s="106">
        <f t="shared" si="65"/>
        <v>0</v>
      </c>
      <c r="AS219" s="118" t="e">
        <f t="shared" si="79"/>
        <v>#DIV/0!</v>
      </c>
      <c r="AT219" s="118" t="e">
        <f t="shared" si="80"/>
        <v>#DIV/0!</v>
      </c>
      <c r="BB219" s="106">
        <f t="shared" si="72"/>
        <v>0</v>
      </c>
      <c r="BD219" s="50"/>
      <c r="BF219" s="106">
        <f t="shared" si="73"/>
        <v>0</v>
      </c>
      <c r="BG219" s="23"/>
      <c r="BH219" s="23"/>
      <c r="BL219" s="114">
        <f t="shared" si="83"/>
        <v>0</v>
      </c>
    </row>
    <row r="220" spans="1:64" x14ac:dyDescent="0.2">
      <c r="A220" s="13" t="str">
        <f t="shared" si="68"/>
        <v>2021Q3</v>
      </c>
      <c r="B220" s="11">
        <f t="shared" si="75"/>
        <v>2021</v>
      </c>
      <c r="C220" s="11" t="s">
        <v>3</v>
      </c>
      <c r="F220" s="87">
        <f t="shared" si="69"/>
        <v>0</v>
      </c>
      <c r="I220" s="93">
        <f t="shared" si="76"/>
        <v>0</v>
      </c>
      <c r="J220" s="95" t="e">
        <f t="shared" si="81"/>
        <v>#DIV/0!</v>
      </c>
      <c r="K220" s="95" t="e">
        <f t="shared" si="82"/>
        <v>#DIV/0!</v>
      </c>
      <c r="T220" s="96" t="e">
        <f t="shared" si="77"/>
        <v>#DIV/0!</v>
      </c>
      <c r="V220" s="96" t="e">
        <f t="shared" si="78"/>
        <v>#DIV/0!</v>
      </c>
      <c r="X220" s="96" t="e">
        <f t="shared" si="70"/>
        <v>#DIV/0!</v>
      </c>
      <c r="Z220" s="96" t="e">
        <f t="shared" si="71"/>
        <v>#DIV/0!</v>
      </c>
      <c r="AC220" s="105">
        <f t="shared" si="74"/>
        <v>0</v>
      </c>
      <c r="AF220" s="49">
        <f t="shared" si="84"/>
        <v>0</v>
      </c>
      <c r="AI220" s="109">
        <f t="shared" si="67"/>
        <v>0</v>
      </c>
      <c r="AL220" s="27">
        <f t="shared" si="85"/>
        <v>0</v>
      </c>
      <c r="AP220" s="106">
        <f t="shared" si="65"/>
        <v>0</v>
      </c>
      <c r="AS220" s="118" t="e">
        <f t="shared" si="79"/>
        <v>#DIV/0!</v>
      </c>
      <c r="AT220" s="118" t="e">
        <f t="shared" si="80"/>
        <v>#DIV/0!</v>
      </c>
      <c r="BB220" s="106">
        <f t="shared" si="72"/>
        <v>0</v>
      </c>
      <c r="BD220" s="50"/>
      <c r="BF220" s="106">
        <f t="shared" si="73"/>
        <v>0</v>
      </c>
      <c r="BG220" s="23"/>
      <c r="BH220" s="23"/>
      <c r="BL220" s="114">
        <f t="shared" si="83"/>
        <v>0</v>
      </c>
    </row>
    <row r="221" spans="1:64" x14ac:dyDescent="0.2">
      <c r="A221" s="13" t="str">
        <f t="shared" si="68"/>
        <v>2021Q4</v>
      </c>
      <c r="B221" s="11">
        <f t="shared" si="75"/>
        <v>2021</v>
      </c>
      <c r="C221" s="11" t="s">
        <v>4</v>
      </c>
      <c r="F221" s="87">
        <f t="shared" si="69"/>
        <v>0</v>
      </c>
      <c r="I221" s="93">
        <f t="shared" si="76"/>
        <v>0</v>
      </c>
      <c r="J221" s="95" t="e">
        <f t="shared" si="81"/>
        <v>#DIV/0!</v>
      </c>
      <c r="K221" s="95" t="e">
        <f t="shared" si="82"/>
        <v>#DIV/0!</v>
      </c>
      <c r="T221" s="96" t="e">
        <f t="shared" si="77"/>
        <v>#DIV/0!</v>
      </c>
      <c r="V221" s="96" t="e">
        <f t="shared" si="78"/>
        <v>#DIV/0!</v>
      </c>
      <c r="X221" s="96" t="e">
        <f t="shared" si="70"/>
        <v>#DIV/0!</v>
      </c>
      <c r="Z221" s="96" t="e">
        <f t="shared" si="71"/>
        <v>#DIV/0!</v>
      </c>
      <c r="AC221" s="105">
        <f t="shared" si="74"/>
        <v>0</v>
      </c>
      <c r="AF221" s="49">
        <f t="shared" si="84"/>
        <v>0</v>
      </c>
      <c r="AI221" s="109">
        <f t="shared" si="67"/>
        <v>0</v>
      </c>
      <c r="AL221" s="27">
        <f t="shared" si="85"/>
        <v>0</v>
      </c>
      <c r="AP221" s="106">
        <f t="shared" si="65"/>
        <v>0</v>
      </c>
      <c r="AS221" s="118" t="e">
        <f t="shared" si="79"/>
        <v>#DIV/0!</v>
      </c>
      <c r="AT221" s="118" t="e">
        <f t="shared" si="80"/>
        <v>#DIV/0!</v>
      </c>
      <c r="BB221" s="106">
        <f t="shared" si="72"/>
        <v>0</v>
      </c>
      <c r="BD221" s="50"/>
      <c r="BF221" s="106">
        <f t="shared" si="73"/>
        <v>0</v>
      </c>
      <c r="BG221" s="23"/>
      <c r="BH221" s="23"/>
      <c r="BL221" s="114">
        <f t="shared" si="83"/>
        <v>0</v>
      </c>
    </row>
    <row r="222" spans="1:64" x14ac:dyDescent="0.2">
      <c r="A222" s="13" t="str">
        <f t="shared" si="68"/>
        <v>2022Q1</v>
      </c>
      <c r="B222" s="11">
        <f t="shared" si="75"/>
        <v>2022</v>
      </c>
      <c r="C222" s="11" t="s">
        <v>1</v>
      </c>
      <c r="F222" s="87">
        <f t="shared" si="69"/>
        <v>0</v>
      </c>
      <c r="I222" s="93">
        <f t="shared" si="76"/>
        <v>0</v>
      </c>
      <c r="J222" s="95" t="e">
        <f t="shared" si="81"/>
        <v>#DIV/0!</v>
      </c>
      <c r="K222" s="95" t="e">
        <f t="shared" si="82"/>
        <v>#DIV/0!</v>
      </c>
      <c r="T222" s="96" t="e">
        <f t="shared" si="77"/>
        <v>#DIV/0!</v>
      </c>
      <c r="V222" s="96" t="e">
        <f t="shared" si="78"/>
        <v>#DIV/0!</v>
      </c>
      <c r="X222" s="96" t="e">
        <f t="shared" si="70"/>
        <v>#DIV/0!</v>
      </c>
      <c r="Z222" s="96" t="e">
        <f t="shared" si="71"/>
        <v>#DIV/0!</v>
      </c>
      <c r="AC222" s="105">
        <f t="shared" si="74"/>
        <v>0</v>
      </c>
      <c r="AF222" s="49">
        <f t="shared" si="84"/>
        <v>0</v>
      </c>
      <c r="AI222" s="109">
        <f t="shared" ref="AI222:AI253" si="86">AG222+AH222</f>
        <v>0</v>
      </c>
      <c r="AL222" s="27">
        <f t="shared" si="85"/>
        <v>0</v>
      </c>
      <c r="AP222" s="106">
        <f t="shared" si="65"/>
        <v>0</v>
      </c>
      <c r="AS222" s="118" t="e">
        <f t="shared" si="79"/>
        <v>#DIV/0!</v>
      </c>
      <c r="AT222" s="118" t="e">
        <f t="shared" si="80"/>
        <v>#DIV/0!</v>
      </c>
      <c r="BB222" s="106">
        <f t="shared" si="72"/>
        <v>0</v>
      </c>
      <c r="BD222" s="50"/>
      <c r="BF222" s="106">
        <f t="shared" si="73"/>
        <v>0</v>
      </c>
      <c r="BG222" s="23"/>
      <c r="BH222" s="23"/>
      <c r="BL222" s="114">
        <f t="shared" si="83"/>
        <v>0</v>
      </c>
    </row>
    <row r="223" spans="1:64" x14ac:dyDescent="0.2">
      <c r="A223" s="13" t="str">
        <f t="shared" si="68"/>
        <v>2022Q2</v>
      </c>
      <c r="B223" s="11">
        <f t="shared" si="75"/>
        <v>2022</v>
      </c>
      <c r="C223" s="11" t="s">
        <v>2</v>
      </c>
      <c r="F223" s="87">
        <f t="shared" si="69"/>
        <v>0</v>
      </c>
      <c r="I223" s="93">
        <f t="shared" si="76"/>
        <v>0</v>
      </c>
      <c r="J223" s="95" t="e">
        <f t="shared" si="81"/>
        <v>#DIV/0!</v>
      </c>
      <c r="K223" s="95" t="e">
        <f t="shared" si="82"/>
        <v>#DIV/0!</v>
      </c>
      <c r="T223" s="96" t="e">
        <f t="shared" si="77"/>
        <v>#DIV/0!</v>
      </c>
      <c r="V223" s="96" t="e">
        <f t="shared" si="78"/>
        <v>#DIV/0!</v>
      </c>
      <c r="X223" s="96" t="e">
        <f t="shared" si="70"/>
        <v>#DIV/0!</v>
      </c>
      <c r="Z223" s="96" t="e">
        <f t="shared" si="71"/>
        <v>#DIV/0!</v>
      </c>
      <c r="AC223" s="105">
        <f t="shared" si="74"/>
        <v>0</v>
      </c>
      <c r="AF223" s="49">
        <f t="shared" si="84"/>
        <v>0</v>
      </c>
      <c r="AI223" s="109">
        <f t="shared" si="86"/>
        <v>0</v>
      </c>
      <c r="AL223" s="27">
        <f t="shared" si="85"/>
        <v>0</v>
      </c>
      <c r="AP223" s="106">
        <f t="shared" si="65"/>
        <v>0</v>
      </c>
      <c r="AS223" s="118" t="e">
        <f t="shared" si="79"/>
        <v>#DIV/0!</v>
      </c>
      <c r="AT223" s="118" t="e">
        <f t="shared" si="80"/>
        <v>#DIV/0!</v>
      </c>
      <c r="BB223" s="106">
        <f t="shared" si="72"/>
        <v>0</v>
      </c>
      <c r="BD223" s="50"/>
      <c r="BF223" s="106">
        <f t="shared" si="73"/>
        <v>0</v>
      </c>
      <c r="BG223" s="23"/>
      <c r="BH223" s="23"/>
      <c r="BL223" s="114">
        <f t="shared" si="83"/>
        <v>0</v>
      </c>
    </row>
    <row r="224" spans="1:64" x14ac:dyDescent="0.2">
      <c r="A224" s="13" t="str">
        <f t="shared" si="68"/>
        <v>2022Q3</v>
      </c>
      <c r="B224" s="11">
        <f t="shared" si="75"/>
        <v>2022</v>
      </c>
      <c r="C224" s="11" t="s">
        <v>3</v>
      </c>
      <c r="F224" s="87">
        <f t="shared" si="69"/>
        <v>0</v>
      </c>
      <c r="I224" s="93">
        <f t="shared" si="76"/>
        <v>0</v>
      </c>
      <c r="J224" s="95" t="e">
        <f t="shared" si="81"/>
        <v>#DIV/0!</v>
      </c>
      <c r="K224" s="95" t="e">
        <f t="shared" si="82"/>
        <v>#DIV/0!</v>
      </c>
      <c r="T224" s="96" t="e">
        <f t="shared" si="77"/>
        <v>#DIV/0!</v>
      </c>
      <c r="V224" s="96" t="e">
        <f t="shared" si="78"/>
        <v>#DIV/0!</v>
      </c>
      <c r="X224" s="96" t="e">
        <f t="shared" si="70"/>
        <v>#DIV/0!</v>
      </c>
      <c r="Z224" s="96" t="e">
        <f t="shared" si="71"/>
        <v>#DIV/0!</v>
      </c>
      <c r="AC224" s="105">
        <f t="shared" si="74"/>
        <v>0</v>
      </c>
      <c r="AF224" s="49">
        <f t="shared" si="84"/>
        <v>0</v>
      </c>
      <c r="AI224" s="109">
        <f t="shared" si="86"/>
        <v>0</v>
      </c>
      <c r="AL224" s="27">
        <f t="shared" si="85"/>
        <v>0</v>
      </c>
      <c r="AP224" s="106">
        <f t="shared" si="65"/>
        <v>0</v>
      </c>
      <c r="AS224" s="118" t="e">
        <f t="shared" si="79"/>
        <v>#DIV/0!</v>
      </c>
      <c r="AT224" s="118" t="e">
        <f t="shared" si="80"/>
        <v>#DIV/0!</v>
      </c>
      <c r="BB224" s="106">
        <f t="shared" si="72"/>
        <v>0</v>
      </c>
      <c r="BD224" s="50"/>
      <c r="BF224" s="106">
        <f t="shared" si="73"/>
        <v>0</v>
      </c>
      <c r="BG224" s="23"/>
      <c r="BH224" s="23"/>
      <c r="BL224" s="114">
        <f t="shared" si="83"/>
        <v>0</v>
      </c>
    </row>
    <row r="225" spans="1:64" x14ac:dyDescent="0.2">
      <c r="A225" s="13" t="str">
        <f t="shared" si="68"/>
        <v>2022Q4</v>
      </c>
      <c r="B225" s="11">
        <f t="shared" si="75"/>
        <v>2022</v>
      </c>
      <c r="C225" s="11" t="s">
        <v>4</v>
      </c>
      <c r="F225" s="87">
        <f t="shared" si="69"/>
        <v>0</v>
      </c>
      <c r="I225" s="93">
        <f t="shared" si="76"/>
        <v>0</v>
      </c>
      <c r="J225" s="95" t="e">
        <f t="shared" si="81"/>
        <v>#DIV/0!</v>
      </c>
      <c r="K225" s="95" t="e">
        <f t="shared" si="82"/>
        <v>#DIV/0!</v>
      </c>
      <c r="T225" s="96" t="e">
        <f t="shared" si="77"/>
        <v>#DIV/0!</v>
      </c>
      <c r="V225" s="96" t="e">
        <f t="shared" si="78"/>
        <v>#DIV/0!</v>
      </c>
      <c r="X225" s="96" t="e">
        <f t="shared" si="70"/>
        <v>#DIV/0!</v>
      </c>
      <c r="Z225" s="96" t="e">
        <f t="shared" si="71"/>
        <v>#DIV/0!</v>
      </c>
      <c r="AC225" s="105">
        <f t="shared" si="74"/>
        <v>0</v>
      </c>
      <c r="AF225" s="49">
        <f t="shared" si="84"/>
        <v>0</v>
      </c>
      <c r="AI225" s="109">
        <f t="shared" si="86"/>
        <v>0</v>
      </c>
      <c r="AL225" s="27">
        <f t="shared" si="85"/>
        <v>0</v>
      </c>
      <c r="AP225" s="106">
        <f t="shared" si="65"/>
        <v>0</v>
      </c>
      <c r="AS225" s="118" t="e">
        <f t="shared" si="79"/>
        <v>#DIV/0!</v>
      </c>
      <c r="AT225" s="118" t="e">
        <f t="shared" si="80"/>
        <v>#DIV/0!</v>
      </c>
      <c r="BB225" s="106">
        <f t="shared" si="72"/>
        <v>0</v>
      </c>
      <c r="BD225" s="50"/>
      <c r="BF225" s="106">
        <f t="shared" si="73"/>
        <v>0</v>
      </c>
      <c r="BG225" s="23"/>
      <c r="BH225" s="23"/>
      <c r="BL225" s="114">
        <f t="shared" si="83"/>
        <v>0</v>
      </c>
    </row>
    <row r="226" spans="1:64" x14ac:dyDescent="0.2">
      <c r="A226" s="13" t="str">
        <f t="shared" si="68"/>
        <v>2023Q1</v>
      </c>
      <c r="B226" s="11">
        <f t="shared" si="75"/>
        <v>2023</v>
      </c>
      <c r="C226" s="11" t="s">
        <v>1</v>
      </c>
      <c r="F226" s="87">
        <f t="shared" si="69"/>
        <v>0</v>
      </c>
      <c r="I226" s="93">
        <f t="shared" si="76"/>
        <v>0</v>
      </c>
      <c r="J226" s="95" t="e">
        <f t="shared" si="81"/>
        <v>#DIV/0!</v>
      </c>
      <c r="K226" s="95" t="e">
        <f t="shared" si="82"/>
        <v>#DIV/0!</v>
      </c>
      <c r="T226" s="96" t="e">
        <f t="shared" si="77"/>
        <v>#DIV/0!</v>
      </c>
      <c r="V226" s="96" t="e">
        <f t="shared" si="78"/>
        <v>#DIV/0!</v>
      </c>
      <c r="X226" s="96" t="e">
        <f t="shared" si="70"/>
        <v>#DIV/0!</v>
      </c>
      <c r="Z226" s="96" t="e">
        <f t="shared" si="71"/>
        <v>#DIV/0!</v>
      </c>
      <c r="AC226" s="105">
        <f t="shared" si="74"/>
        <v>0</v>
      </c>
      <c r="AF226" s="49">
        <f t="shared" si="84"/>
        <v>0</v>
      </c>
      <c r="AI226" s="109">
        <f t="shared" si="86"/>
        <v>0</v>
      </c>
      <c r="AL226" s="27">
        <f t="shared" si="85"/>
        <v>0</v>
      </c>
      <c r="AP226" s="106">
        <f t="shared" si="65"/>
        <v>0</v>
      </c>
      <c r="AS226" s="118" t="e">
        <f t="shared" si="79"/>
        <v>#DIV/0!</v>
      </c>
      <c r="AT226" s="118" t="e">
        <f t="shared" si="80"/>
        <v>#DIV/0!</v>
      </c>
      <c r="BB226" s="106">
        <f t="shared" si="72"/>
        <v>0</v>
      </c>
      <c r="BD226" s="50"/>
      <c r="BF226" s="106">
        <f t="shared" si="73"/>
        <v>0</v>
      </c>
      <c r="BG226" s="23"/>
      <c r="BH226" s="23"/>
      <c r="BL226" s="114">
        <f t="shared" si="83"/>
        <v>0</v>
      </c>
    </row>
    <row r="227" spans="1:64" x14ac:dyDescent="0.2">
      <c r="A227" s="13" t="str">
        <f t="shared" si="68"/>
        <v>2023Q2</v>
      </c>
      <c r="B227" s="11">
        <f t="shared" si="75"/>
        <v>2023</v>
      </c>
      <c r="C227" s="11" t="s">
        <v>2</v>
      </c>
      <c r="F227" s="87">
        <f t="shared" si="69"/>
        <v>0</v>
      </c>
      <c r="I227" s="93">
        <f t="shared" si="76"/>
        <v>0</v>
      </c>
      <c r="J227" s="95" t="e">
        <f t="shared" si="81"/>
        <v>#DIV/0!</v>
      </c>
      <c r="K227" s="95" t="e">
        <f t="shared" si="82"/>
        <v>#DIV/0!</v>
      </c>
      <c r="T227" s="96" t="e">
        <f t="shared" si="77"/>
        <v>#DIV/0!</v>
      </c>
      <c r="V227" s="96" t="e">
        <f t="shared" si="78"/>
        <v>#DIV/0!</v>
      </c>
      <c r="X227" s="96" t="e">
        <f t="shared" si="70"/>
        <v>#DIV/0!</v>
      </c>
      <c r="Z227" s="96" t="e">
        <f t="shared" si="71"/>
        <v>#DIV/0!</v>
      </c>
      <c r="AC227" s="105">
        <f t="shared" si="74"/>
        <v>0</v>
      </c>
      <c r="AF227" s="49">
        <f t="shared" si="84"/>
        <v>0</v>
      </c>
      <c r="AI227" s="109">
        <f t="shared" si="86"/>
        <v>0</v>
      </c>
      <c r="AL227" s="27">
        <f t="shared" si="85"/>
        <v>0</v>
      </c>
      <c r="AP227" s="106">
        <f t="shared" si="65"/>
        <v>0</v>
      </c>
      <c r="AS227" s="118" t="e">
        <f t="shared" si="79"/>
        <v>#DIV/0!</v>
      </c>
      <c r="AT227" s="118" t="e">
        <f t="shared" si="80"/>
        <v>#DIV/0!</v>
      </c>
      <c r="BB227" s="106">
        <f t="shared" si="72"/>
        <v>0</v>
      </c>
      <c r="BD227" s="50"/>
      <c r="BF227" s="106">
        <f t="shared" si="73"/>
        <v>0</v>
      </c>
      <c r="BG227" s="23"/>
      <c r="BH227" s="23"/>
      <c r="BL227" s="114">
        <f t="shared" si="83"/>
        <v>0</v>
      </c>
    </row>
    <row r="228" spans="1:64" x14ac:dyDescent="0.2">
      <c r="A228" s="13" t="str">
        <f t="shared" si="68"/>
        <v>2023Q3</v>
      </c>
      <c r="B228" s="11">
        <f t="shared" si="75"/>
        <v>2023</v>
      </c>
      <c r="C228" s="11" t="s">
        <v>3</v>
      </c>
      <c r="F228" s="87">
        <f t="shared" si="69"/>
        <v>0</v>
      </c>
      <c r="I228" s="93">
        <f t="shared" si="76"/>
        <v>0</v>
      </c>
      <c r="J228" s="95" t="e">
        <f t="shared" si="81"/>
        <v>#DIV/0!</v>
      </c>
      <c r="K228" s="95" t="e">
        <f t="shared" si="82"/>
        <v>#DIV/0!</v>
      </c>
      <c r="T228" s="96" t="e">
        <f t="shared" si="77"/>
        <v>#DIV/0!</v>
      </c>
      <c r="V228" s="96" t="e">
        <f t="shared" si="78"/>
        <v>#DIV/0!</v>
      </c>
      <c r="X228" s="96" t="e">
        <f t="shared" si="70"/>
        <v>#DIV/0!</v>
      </c>
      <c r="Z228" s="96" t="e">
        <f t="shared" si="71"/>
        <v>#DIV/0!</v>
      </c>
      <c r="AC228" s="105">
        <f t="shared" si="74"/>
        <v>0</v>
      </c>
      <c r="AF228" s="49">
        <f t="shared" si="84"/>
        <v>0</v>
      </c>
      <c r="AI228" s="109">
        <f t="shared" si="86"/>
        <v>0</v>
      </c>
      <c r="AL228" s="27">
        <f t="shared" si="85"/>
        <v>0</v>
      </c>
      <c r="AP228" s="106">
        <f t="shared" si="65"/>
        <v>0</v>
      </c>
      <c r="AS228" s="118" t="e">
        <f t="shared" si="79"/>
        <v>#DIV/0!</v>
      </c>
      <c r="AT228" s="118" t="e">
        <f t="shared" si="80"/>
        <v>#DIV/0!</v>
      </c>
      <c r="BB228" s="106">
        <f t="shared" si="72"/>
        <v>0</v>
      </c>
      <c r="BD228" s="50"/>
      <c r="BF228" s="106">
        <f t="shared" si="73"/>
        <v>0</v>
      </c>
      <c r="BG228" s="23"/>
      <c r="BH228" s="23"/>
      <c r="BL228" s="114">
        <f t="shared" si="83"/>
        <v>0</v>
      </c>
    </row>
    <row r="229" spans="1:64" x14ac:dyDescent="0.2">
      <c r="A229" s="13" t="str">
        <f t="shared" si="68"/>
        <v>2023Q4</v>
      </c>
      <c r="B229" s="11">
        <f t="shared" si="75"/>
        <v>2023</v>
      </c>
      <c r="C229" s="11" t="s">
        <v>4</v>
      </c>
      <c r="F229" s="87">
        <f t="shared" si="69"/>
        <v>0</v>
      </c>
      <c r="I229" s="93">
        <f t="shared" si="76"/>
        <v>0</v>
      </c>
      <c r="J229" s="95" t="e">
        <f t="shared" si="81"/>
        <v>#DIV/0!</v>
      </c>
      <c r="K229" s="95" t="e">
        <f t="shared" si="82"/>
        <v>#DIV/0!</v>
      </c>
      <c r="T229" s="96" t="e">
        <f t="shared" si="77"/>
        <v>#DIV/0!</v>
      </c>
      <c r="V229" s="96" t="e">
        <f t="shared" si="78"/>
        <v>#DIV/0!</v>
      </c>
      <c r="X229" s="96" t="e">
        <f t="shared" si="70"/>
        <v>#DIV/0!</v>
      </c>
      <c r="Z229" s="96" t="e">
        <f t="shared" si="71"/>
        <v>#DIV/0!</v>
      </c>
      <c r="AC229" s="105">
        <f t="shared" si="74"/>
        <v>0</v>
      </c>
      <c r="AF229" s="49">
        <f t="shared" si="84"/>
        <v>0</v>
      </c>
      <c r="AI229" s="109">
        <f t="shared" si="86"/>
        <v>0</v>
      </c>
      <c r="AL229" s="27">
        <f t="shared" si="85"/>
        <v>0</v>
      </c>
      <c r="AP229" s="106">
        <f t="shared" si="65"/>
        <v>0</v>
      </c>
      <c r="AS229" s="118" t="e">
        <f t="shared" si="79"/>
        <v>#DIV/0!</v>
      </c>
      <c r="AT229" s="118" t="e">
        <f t="shared" si="80"/>
        <v>#DIV/0!</v>
      </c>
      <c r="BB229" s="106">
        <f t="shared" si="72"/>
        <v>0</v>
      </c>
      <c r="BD229" s="50"/>
      <c r="BF229" s="106">
        <f t="shared" si="73"/>
        <v>0</v>
      </c>
      <c r="BG229" s="23"/>
      <c r="BH229" s="23"/>
      <c r="BL229" s="114">
        <f t="shared" si="83"/>
        <v>0</v>
      </c>
    </row>
    <row r="230" spans="1:64" x14ac:dyDescent="0.2">
      <c r="A230" s="13" t="str">
        <f t="shared" si="68"/>
        <v>2024Q1</v>
      </c>
      <c r="B230" s="11">
        <f t="shared" si="75"/>
        <v>2024</v>
      </c>
      <c r="C230" s="11" t="s">
        <v>1</v>
      </c>
      <c r="F230" s="87">
        <f t="shared" si="69"/>
        <v>0</v>
      </c>
      <c r="I230" s="93">
        <f t="shared" si="76"/>
        <v>0</v>
      </c>
      <c r="J230" s="95" t="e">
        <f t="shared" si="81"/>
        <v>#DIV/0!</v>
      </c>
      <c r="K230" s="95" t="e">
        <f t="shared" si="82"/>
        <v>#DIV/0!</v>
      </c>
      <c r="T230" s="96" t="e">
        <f t="shared" si="77"/>
        <v>#DIV/0!</v>
      </c>
      <c r="V230" s="96" t="e">
        <f t="shared" si="78"/>
        <v>#DIV/0!</v>
      </c>
      <c r="X230" s="96" t="e">
        <f t="shared" ref="X230:X261" si="87">IF(W230="..","..",W230/$Q230*100)</f>
        <v>#DIV/0!</v>
      </c>
      <c r="Z230" s="96" t="e">
        <f t="shared" ref="Z230:Z261" si="88">IF(Y230="..","..",Y230/$Q230*100)</f>
        <v>#DIV/0!</v>
      </c>
      <c r="AC230" s="105">
        <f t="shared" si="74"/>
        <v>0</v>
      </c>
      <c r="AF230" s="49">
        <f t="shared" si="84"/>
        <v>0</v>
      </c>
      <c r="AI230" s="109">
        <f t="shared" si="86"/>
        <v>0</v>
      </c>
      <c r="AL230" s="27">
        <f t="shared" si="85"/>
        <v>0</v>
      </c>
      <c r="AP230" s="106">
        <f t="shared" si="65"/>
        <v>0</v>
      </c>
      <c r="AS230" s="118" t="e">
        <f t="shared" si="79"/>
        <v>#DIV/0!</v>
      </c>
      <c r="AT230" s="118" t="e">
        <f t="shared" si="80"/>
        <v>#DIV/0!</v>
      </c>
      <c r="BB230" s="106">
        <f t="shared" si="72"/>
        <v>0</v>
      </c>
      <c r="BD230" s="50"/>
      <c r="BF230" s="106">
        <f t="shared" si="73"/>
        <v>0</v>
      </c>
      <c r="BG230" s="23"/>
      <c r="BH230" s="23"/>
      <c r="BL230" s="114">
        <f t="shared" si="83"/>
        <v>0</v>
      </c>
    </row>
    <row r="231" spans="1:64" x14ac:dyDescent="0.2">
      <c r="A231" s="13" t="str">
        <f t="shared" si="68"/>
        <v>2024Q2</v>
      </c>
      <c r="B231" s="11">
        <f t="shared" si="75"/>
        <v>2024</v>
      </c>
      <c r="C231" s="11" t="s">
        <v>2</v>
      </c>
      <c r="F231" s="87">
        <f t="shared" si="69"/>
        <v>0</v>
      </c>
      <c r="I231" s="93">
        <f t="shared" si="76"/>
        <v>0</v>
      </c>
      <c r="J231" s="95" t="e">
        <f t="shared" si="81"/>
        <v>#DIV/0!</v>
      </c>
      <c r="K231" s="95" t="e">
        <f t="shared" si="82"/>
        <v>#DIV/0!</v>
      </c>
      <c r="T231" s="96" t="e">
        <f t="shared" si="77"/>
        <v>#DIV/0!</v>
      </c>
      <c r="V231" s="96" t="e">
        <f t="shared" si="78"/>
        <v>#DIV/0!</v>
      </c>
      <c r="X231" s="96" t="e">
        <f t="shared" si="87"/>
        <v>#DIV/0!</v>
      </c>
      <c r="Z231" s="96" t="e">
        <f t="shared" si="88"/>
        <v>#DIV/0!</v>
      </c>
      <c r="AC231" s="105">
        <f t="shared" si="74"/>
        <v>0</v>
      </c>
      <c r="AF231" s="49">
        <f t="shared" si="84"/>
        <v>0</v>
      </c>
      <c r="AI231" s="109">
        <f t="shared" si="86"/>
        <v>0</v>
      </c>
      <c r="AL231" s="27">
        <f t="shared" si="85"/>
        <v>0</v>
      </c>
      <c r="AP231" s="106">
        <f t="shared" si="65"/>
        <v>0</v>
      </c>
      <c r="AS231" s="118" t="e">
        <f t="shared" si="79"/>
        <v>#DIV/0!</v>
      </c>
      <c r="AT231" s="118" t="e">
        <f t="shared" si="80"/>
        <v>#DIV/0!</v>
      </c>
      <c r="BB231" s="106">
        <f t="shared" si="72"/>
        <v>0</v>
      </c>
      <c r="BD231" s="50"/>
      <c r="BF231" s="106">
        <f t="shared" si="73"/>
        <v>0</v>
      </c>
      <c r="BG231" s="23"/>
      <c r="BH231" s="23"/>
      <c r="BL231" s="114">
        <f t="shared" si="83"/>
        <v>0</v>
      </c>
    </row>
    <row r="232" spans="1:64" x14ac:dyDescent="0.2">
      <c r="A232" s="13" t="str">
        <f t="shared" si="68"/>
        <v>2024Q3</v>
      </c>
      <c r="B232" s="11">
        <f t="shared" si="75"/>
        <v>2024</v>
      </c>
      <c r="C232" s="11" t="s">
        <v>3</v>
      </c>
      <c r="F232" s="87">
        <f t="shared" si="69"/>
        <v>0</v>
      </c>
      <c r="I232" s="93">
        <f t="shared" si="76"/>
        <v>0</v>
      </c>
      <c r="J232" s="95" t="e">
        <f t="shared" si="81"/>
        <v>#DIV/0!</v>
      </c>
      <c r="K232" s="95" t="e">
        <f t="shared" si="82"/>
        <v>#DIV/0!</v>
      </c>
      <c r="T232" s="96" t="e">
        <f t="shared" si="77"/>
        <v>#DIV/0!</v>
      </c>
      <c r="V232" s="96" t="e">
        <f t="shared" si="78"/>
        <v>#DIV/0!</v>
      </c>
      <c r="X232" s="96" t="e">
        <f t="shared" si="87"/>
        <v>#DIV/0!</v>
      </c>
      <c r="Z232" s="96" t="e">
        <f t="shared" si="88"/>
        <v>#DIV/0!</v>
      </c>
      <c r="AC232" s="105">
        <f t="shared" si="74"/>
        <v>0</v>
      </c>
      <c r="AF232" s="49">
        <f t="shared" si="84"/>
        <v>0</v>
      </c>
      <c r="AI232" s="109">
        <f t="shared" si="86"/>
        <v>0</v>
      </c>
      <c r="AL232" s="27">
        <f t="shared" si="85"/>
        <v>0</v>
      </c>
      <c r="AP232" s="106">
        <f t="shared" si="65"/>
        <v>0</v>
      </c>
      <c r="AS232" s="118" t="e">
        <f t="shared" si="79"/>
        <v>#DIV/0!</v>
      </c>
      <c r="AT232" s="118" t="e">
        <f t="shared" si="80"/>
        <v>#DIV/0!</v>
      </c>
      <c r="BB232" s="106">
        <f t="shared" si="72"/>
        <v>0</v>
      </c>
      <c r="BD232" s="50"/>
      <c r="BF232" s="106">
        <f t="shared" si="73"/>
        <v>0</v>
      </c>
      <c r="BG232" s="23"/>
      <c r="BH232" s="23"/>
      <c r="BL232" s="114">
        <f t="shared" si="83"/>
        <v>0</v>
      </c>
    </row>
    <row r="233" spans="1:64" x14ac:dyDescent="0.2">
      <c r="A233" s="13" t="str">
        <f t="shared" si="68"/>
        <v>2024Q4</v>
      </c>
      <c r="B233" s="11">
        <f t="shared" si="75"/>
        <v>2024</v>
      </c>
      <c r="C233" s="11" t="s">
        <v>4</v>
      </c>
      <c r="F233" s="87">
        <f t="shared" si="69"/>
        <v>0</v>
      </c>
      <c r="I233" s="93">
        <f t="shared" si="76"/>
        <v>0</v>
      </c>
      <c r="J233" s="95" t="e">
        <f t="shared" si="81"/>
        <v>#DIV/0!</v>
      </c>
      <c r="K233" s="95" t="e">
        <f t="shared" si="82"/>
        <v>#DIV/0!</v>
      </c>
      <c r="T233" s="96" t="e">
        <f t="shared" si="77"/>
        <v>#DIV/0!</v>
      </c>
      <c r="V233" s="96" t="e">
        <f t="shared" si="78"/>
        <v>#DIV/0!</v>
      </c>
      <c r="X233" s="96" t="e">
        <f t="shared" si="87"/>
        <v>#DIV/0!</v>
      </c>
      <c r="Z233" s="96" t="e">
        <f t="shared" si="88"/>
        <v>#DIV/0!</v>
      </c>
      <c r="AC233" s="105">
        <f t="shared" si="74"/>
        <v>0</v>
      </c>
      <c r="AF233" s="49">
        <f t="shared" si="84"/>
        <v>0</v>
      </c>
      <c r="AI233" s="109">
        <f t="shared" si="86"/>
        <v>0</v>
      </c>
      <c r="AL233" s="27">
        <f t="shared" si="85"/>
        <v>0</v>
      </c>
      <c r="AP233" s="106">
        <f t="shared" si="65"/>
        <v>0</v>
      </c>
      <c r="AS233" s="118" t="e">
        <f t="shared" si="79"/>
        <v>#DIV/0!</v>
      </c>
      <c r="AT233" s="118" t="e">
        <f t="shared" si="80"/>
        <v>#DIV/0!</v>
      </c>
      <c r="BB233" s="106">
        <f t="shared" si="72"/>
        <v>0</v>
      </c>
      <c r="BD233" s="50"/>
      <c r="BF233" s="106">
        <f t="shared" si="73"/>
        <v>0</v>
      </c>
      <c r="BG233" s="23"/>
      <c r="BH233" s="23"/>
      <c r="BL233" s="114">
        <f t="shared" si="83"/>
        <v>0</v>
      </c>
    </row>
    <row r="234" spans="1:64" x14ac:dyDescent="0.2">
      <c r="A234" s="13" t="str">
        <f t="shared" si="68"/>
        <v>2025Q1</v>
      </c>
      <c r="B234" s="11">
        <f t="shared" si="75"/>
        <v>2025</v>
      </c>
      <c r="C234" s="11" t="s">
        <v>1</v>
      </c>
      <c r="F234" s="87">
        <f t="shared" si="69"/>
        <v>0</v>
      </c>
      <c r="I234" s="93">
        <f t="shared" si="76"/>
        <v>0</v>
      </c>
      <c r="J234" s="95" t="e">
        <f t="shared" si="81"/>
        <v>#DIV/0!</v>
      </c>
      <c r="K234" s="95" t="e">
        <f t="shared" si="82"/>
        <v>#DIV/0!</v>
      </c>
      <c r="T234" s="96" t="e">
        <f t="shared" si="77"/>
        <v>#DIV/0!</v>
      </c>
      <c r="V234" s="96" t="e">
        <f t="shared" si="78"/>
        <v>#DIV/0!</v>
      </c>
      <c r="X234" s="96" t="e">
        <f t="shared" si="87"/>
        <v>#DIV/0!</v>
      </c>
      <c r="Z234" s="96" t="e">
        <f t="shared" si="88"/>
        <v>#DIV/0!</v>
      </c>
      <c r="AC234" s="105">
        <f t="shared" si="74"/>
        <v>0</v>
      </c>
      <c r="AF234" s="49">
        <f t="shared" si="84"/>
        <v>0</v>
      </c>
      <c r="AI234" s="109">
        <f t="shared" si="86"/>
        <v>0</v>
      </c>
      <c r="AL234" s="27">
        <f t="shared" si="85"/>
        <v>0</v>
      </c>
      <c r="AP234" s="106">
        <f t="shared" si="65"/>
        <v>0</v>
      </c>
      <c r="AS234" s="118" t="e">
        <f t="shared" si="79"/>
        <v>#DIV/0!</v>
      </c>
      <c r="AT234" s="118" t="e">
        <f t="shared" si="80"/>
        <v>#DIV/0!</v>
      </c>
      <c r="BB234" s="106">
        <f t="shared" si="72"/>
        <v>0</v>
      </c>
      <c r="BD234" s="50"/>
      <c r="BF234" s="106">
        <f t="shared" si="73"/>
        <v>0</v>
      </c>
      <c r="BG234" s="23"/>
      <c r="BH234" s="23"/>
      <c r="BL234" s="114">
        <f t="shared" si="83"/>
        <v>0</v>
      </c>
    </row>
    <row r="235" spans="1:64" x14ac:dyDescent="0.2">
      <c r="A235" s="13" t="str">
        <f t="shared" si="68"/>
        <v>2025Q2</v>
      </c>
      <c r="B235" s="11">
        <f t="shared" si="75"/>
        <v>2025</v>
      </c>
      <c r="C235" s="11" t="s">
        <v>2</v>
      </c>
      <c r="F235" s="87">
        <f t="shared" si="69"/>
        <v>0</v>
      </c>
      <c r="I235" s="93">
        <f t="shared" si="76"/>
        <v>0</v>
      </c>
      <c r="J235" s="95" t="e">
        <f t="shared" si="81"/>
        <v>#DIV/0!</v>
      </c>
      <c r="K235" s="95" t="e">
        <f t="shared" si="82"/>
        <v>#DIV/0!</v>
      </c>
      <c r="T235" s="96" t="e">
        <f t="shared" si="77"/>
        <v>#DIV/0!</v>
      </c>
      <c r="V235" s="96" t="e">
        <f t="shared" si="78"/>
        <v>#DIV/0!</v>
      </c>
      <c r="X235" s="96" t="e">
        <f t="shared" si="87"/>
        <v>#DIV/0!</v>
      </c>
      <c r="Z235" s="96" t="e">
        <f t="shared" si="88"/>
        <v>#DIV/0!</v>
      </c>
      <c r="AC235" s="105">
        <f t="shared" ref="AC235:AC266" si="89">IF(AA235=":",Q235+AB235,Q235++R235+AA235+AB235)</f>
        <v>0</v>
      </c>
      <c r="AF235" s="49">
        <f t="shared" si="84"/>
        <v>0</v>
      </c>
      <c r="AI235" s="109">
        <f t="shared" si="86"/>
        <v>0</v>
      </c>
      <c r="AL235" s="27">
        <f t="shared" si="85"/>
        <v>0</v>
      </c>
      <c r="AP235" s="106">
        <f t="shared" si="65"/>
        <v>0</v>
      </c>
      <c r="AS235" s="118" t="e">
        <f t="shared" si="79"/>
        <v>#DIV/0!</v>
      </c>
      <c r="AT235" s="118" t="e">
        <f t="shared" si="80"/>
        <v>#DIV/0!</v>
      </c>
      <c r="BB235" s="106">
        <f t="shared" si="72"/>
        <v>0</v>
      </c>
      <c r="BD235" s="50"/>
      <c r="BF235" s="106">
        <f t="shared" si="73"/>
        <v>0</v>
      </c>
      <c r="BG235" s="23"/>
      <c r="BH235" s="23"/>
      <c r="BL235" s="114">
        <f t="shared" si="83"/>
        <v>0</v>
      </c>
    </row>
    <row r="236" spans="1:64" x14ac:dyDescent="0.2">
      <c r="A236" s="13" t="str">
        <f t="shared" si="68"/>
        <v>2025Q3</v>
      </c>
      <c r="B236" s="11">
        <f t="shared" si="75"/>
        <v>2025</v>
      </c>
      <c r="C236" s="11" t="s">
        <v>3</v>
      </c>
      <c r="F236" s="87">
        <f t="shared" si="69"/>
        <v>0</v>
      </c>
      <c r="I236" s="93">
        <f t="shared" si="76"/>
        <v>0</v>
      </c>
      <c r="J236" s="95" t="e">
        <f t="shared" si="81"/>
        <v>#DIV/0!</v>
      </c>
      <c r="K236" s="95" t="e">
        <f t="shared" si="82"/>
        <v>#DIV/0!</v>
      </c>
      <c r="T236" s="96" t="e">
        <f t="shared" si="77"/>
        <v>#DIV/0!</v>
      </c>
      <c r="V236" s="96" t="e">
        <f t="shared" si="78"/>
        <v>#DIV/0!</v>
      </c>
      <c r="X236" s="96" t="e">
        <f t="shared" si="87"/>
        <v>#DIV/0!</v>
      </c>
      <c r="Z236" s="96" t="e">
        <f t="shared" si="88"/>
        <v>#DIV/0!</v>
      </c>
      <c r="AC236" s="105">
        <f t="shared" si="89"/>
        <v>0</v>
      </c>
      <c r="AF236" s="49">
        <f t="shared" si="84"/>
        <v>0</v>
      </c>
      <c r="AI236" s="109">
        <f t="shared" si="86"/>
        <v>0</v>
      </c>
      <c r="AL236" s="27">
        <f t="shared" si="85"/>
        <v>0</v>
      </c>
      <c r="AP236" s="106">
        <f t="shared" si="65"/>
        <v>0</v>
      </c>
      <c r="AS236" s="118" t="e">
        <f t="shared" si="79"/>
        <v>#DIV/0!</v>
      </c>
      <c r="AT236" s="118" t="e">
        <f t="shared" si="80"/>
        <v>#DIV/0!</v>
      </c>
      <c r="BB236" s="106">
        <f t="shared" si="72"/>
        <v>0</v>
      </c>
      <c r="BD236" s="50"/>
      <c r="BF236" s="106">
        <f t="shared" si="73"/>
        <v>0</v>
      </c>
      <c r="BG236" s="23"/>
      <c r="BH236" s="23"/>
      <c r="BL236" s="114">
        <f t="shared" si="83"/>
        <v>0</v>
      </c>
    </row>
    <row r="237" spans="1:64" x14ac:dyDescent="0.2">
      <c r="A237" s="13" t="str">
        <f t="shared" si="68"/>
        <v>2025Q4</v>
      </c>
      <c r="B237" s="11">
        <f t="shared" si="75"/>
        <v>2025</v>
      </c>
      <c r="C237" s="11" t="s">
        <v>4</v>
      </c>
      <c r="F237" s="87">
        <f t="shared" si="69"/>
        <v>0</v>
      </c>
      <c r="I237" s="93">
        <f t="shared" si="76"/>
        <v>0</v>
      </c>
      <c r="J237" s="95" t="e">
        <f t="shared" si="81"/>
        <v>#DIV/0!</v>
      </c>
      <c r="K237" s="95" t="e">
        <f t="shared" si="82"/>
        <v>#DIV/0!</v>
      </c>
      <c r="T237" s="96" t="e">
        <f t="shared" si="77"/>
        <v>#DIV/0!</v>
      </c>
      <c r="V237" s="96" t="e">
        <f t="shared" si="78"/>
        <v>#DIV/0!</v>
      </c>
      <c r="X237" s="96" t="e">
        <f t="shared" si="87"/>
        <v>#DIV/0!</v>
      </c>
      <c r="Z237" s="96" t="e">
        <f t="shared" si="88"/>
        <v>#DIV/0!</v>
      </c>
      <c r="AC237" s="105">
        <f t="shared" si="89"/>
        <v>0</v>
      </c>
      <c r="AF237" s="49">
        <f t="shared" si="84"/>
        <v>0</v>
      </c>
      <c r="AI237" s="109">
        <f t="shared" si="86"/>
        <v>0</v>
      </c>
      <c r="AL237" s="27">
        <f t="shared" si="85"/>
        <v>0</v>
      </c>
      <c r="AP237" s="106">
        <f t="shared" si="65"/>
        <v>0</v>
      </c>
      <c r="AS237" s="118" t="e">
        <f t="shared" si="79"/>
        <v>#DIV/0!</v>
      </c>
      <c r="AT237" s="118" t="e">
        <f t="shared" si="80"/>
        <v>#DIV/0!</v>
      </c>
      <c r="BB237" s="106">
        <f t="shared" si="72"/>
        <v>0</v>
      </c>
      <c r="BD237" s="50"/>
      <c r="BF237" s="106">
        <f t="shared" si="73"/>
        <v>0</v>
      </c>
      <c r="BG237" s="23"/>
      <c r="BH237" s="23"/>
      <c r="BL237" s="114">
        <f t="shared" si="83"/>
        <v>0</v>
      </c>
    </row>
    <row r="238" spans="1:64" x14ac:dyDescent="0.2">
      <c r="A238" s="13" t="str">
        <f t="shared" si="68"/>
        <v>2026Q1</v>
      </c>
      <c r="B238" s="11">
        <f t="shared" ref="B238:B269" si="90">B234+1</f>
        <v>2026</v>
      </c>
      <c r="C238" s="11" t="s">
        <v>1</v>
      </c>
      <c r="F238" s="87">
        <f t="shared" si="69"/>
        <v>0</v>
      </c>
      <c r="I238" s="93">
        <f t="shared" si="76"/>
        <v>0</v>
      </c>
      <c r="J238" s="95" t="e">
        <f t="shared" si="81"/>
        <v>#DIV/0!</v>
      </c>
      <c r="K238" s="95" t="e">
        <f t="shared" si="82"/>
        <v>#DIV/0!</v>
      </c>
      <c r="T238" s="96" t="e">
        <f t="shared" ref="T238:T269" si="91">S238/$Q238*100</f>
        <v>#DIV/0!</v>
      </c>
      <c r="V238" s="96" t="e">
        <f t="shared" ref="V238:V269" si="92">U238/$Q238*100</f>
        <v>#DIV/0!</v>
      </c>
      <c r="X238" s="96" t="e">
        <f t="shared" si="87"/>
        <v>#DIV/0!</v>
      </c>
      <c r="Z238" s="96" t="e">
        <f t="shared" si="88"/>
        <v>#DIV/0!</v>
      </c>
      <c r="AC238" s="105">
        <f t="shared" si="89"/>
        <v>0</v>
      </c>
      <c r="AF238" s="49">
        <f t="shared" si="84"/>
        <v>0</v>
      </c>
      <c r="AI238" s="109">
        <f t="shared" si="86"/>
        <v>0</v>
      </c>
      <c r="AL238" s="27">
        <f t="shared" si="85"/>
        <v>0</v>
      </c>
      <c r="AP238" s="106">
        <f t="shared" si="65"/>
        <v>0</v>
      </c>
      <c r="AS238" s="118" t="e">
        <f t="shared" ref="AS238:AS269" si="93">4*(SUM($AP235:$AP238)/SUM(AQ235:AQ238))*100</f>
        <v>#DIV/0!</v>
      </c>
      <c r="AT238" s="118" t="e">
        <f t="shared" ref="AT238:AT269" si="94">4*(SUM($AP235:$AP238)/SUM(AR235:AR238))*100</f>
        <v>#DIV/0!</v>
      </c>
      <c r="BB238" s="106">
        <f t="shared" si="72"/>
        <v>0</v>
      </c>
      <c r="BD238" s="50"/>
      <c r="BF238" s="106">
        <f t="shared" si="73"/>
        <v>0</v>
      </c>
      <c r="BG238" s="23"/>
      <c r="BH238" s="23"/>
      <c r="BL238" s="114">
        <f t="shared" si="83"/>
        <v>0</v>
      </c>
    </row>
    <row r="239" spans="1:64" x14ac:dyDescent="0.2">
      <c r="A239" s="13" t="str">
        <f t="shared" si="68"/>
        <v>2026Q2</v>
      </c>
      <c r="B239" s="11">
        <f t="shared" si="90"/>
        <v>2026</v>
      </c>
      <c r="C239" s="11" t="s">
        <v>2</v>
      </c>
      <c r="F239" s="87">
        <f t="shared" si="69"/>
        <v>0</v>
      </c>
      <c r="I239" s="93">
        <f t="shared" si="76"/>
        <v>0</v>
      </c>
      <c r="J239" s="95" t="e">
        <f t="shared" si="81"/>
        <v>#DIV/0!</v>
      </c>
      <c r="K239" s="95" t="e">
        <f t="shared" si="82"/>
        <v>#DIV/0!</v>
      </c>
      <c r="T239" s="96" t="e">
        <f t="shared" si="91"/>
        <v>#DIV/0!</v>
      </c>
      <c r="V239" s="96" t="e">
        <f t="shared" si="92"/>
        <v>#DIV/0!</v>
      </c>
      <c r="X239" s="96" t="e">
        <f t="shared" si="87"/>
        <v>#DIV/0!</v>
      </c>
      <c r="Z239" s="96" t="e">
        <f t="shared" si="88"/>
        <v>#DIV/0!</v>
      </c>
      <c r="AC239" s="105">
        <f t="shared" si="89"/>
        <v>0</v>
      </c>
      <c r="AF239" s="49">
        <f t="shared" si="84"/>
        <v>0</v>
      </c>
      <c r="AI239" s="109">
        <f t="shared" si="86"/>
        <v>0</v>
      </c>
      <c r="AL239" s="27">
        <f t="shared" si="85"/>
        <v>0</v>
      </c>
      <c r="AP239" s="106">
        <f t="shared" si="65"/>
        <v>0</v>
      </c>
      <c r="AS239" s="118" t="e">
        <f t="shared" si="93"/>
        <v>#DIV/0!</v>
      </c>
      <c r="AT239" s="118" t="e">
        <f t="shared" si="94"/>
        <v>#DIV/0!</v>
      </c>
      <c r="BB239" s="106">
        <f t="shared" si="72"/>
        <v>0</v>
      </c>
      <c r="BD239" s="50"/>
      <c r="BF239" s="106">
        <f t="shared" si="73"/>
        <v>0</v>
      </c>
      <c r="BG239" s="23"/>
      <c r="BH239" s="23"/>
      <c r="BL239" s="114">
        <f t="shared" si="83"/>
        <v>0</v>
      </c>
    </row>
    <row r="240" spans="1:64" x14ac:dyDescent="0.2">
      <c r="A240" s="13" t="str">
        <f t="shared" si="68"/>
        <v>2026Q3</v>
      </c>
      <c r="B240" s="11">
        <f t="shared" si="90"/>
        <v>2026</v>
      </c>
      <c r="C240" s="11" t="s">
        <v>3</v>
      </c>
      <c r="F240" s="87">
        <f t="shared" si="69"/>
        <v>0</v>
      </c>
      <c r="I240" s="93">
        <f t="shared" si="76"/>
        <v>0</v>
      </c>
      <c r="J240" s="95" t="e">
        <f t="shared" si="81"/>
        <v>#DIV/0!</v>
      </c>
      <c r="K240" s="95" t="e">
        <f t="shared" si="82"/>
        <v>#DIV/0!</v>
      </c>
      <c r="T240" s="96" t="e">
        <f t="shared" si="91"/>
        <v>#DIV/0!</v>
      </c>
      <c r="V240" s="96" t="e">
        <f t="shared" si="92"/>
        <v>#DIV/0!</v>
      </c>
      <c r="X240" s="96" t="e">
        <f t="shared" si="87"/>
        <v>#DIV/0!</v>
      </c>
      <c r="Z240" s="96" t="e">
        <f t="shared" si="88"/>
        <v>#DIV/0!</v>
      </c>
      <c r="AC240" s="105">
        <f t="shared" si="89"/>
        <v>0</v>
      </c>
      <c r="AF240" s="49">
        <f t="shared" si="84"/>
        <v>0</v>
      </c>
      <c r="AI240" s="109">
        <f t="shared" si="86"/>
        <v>0</v>
      </c>
      <c r="AL240" s="27">
        <f t="shared" si="85"/>
        <v>0</v>
      </c>
      <c r="AP240" s="106">
        <f t="shared" si="65"/>
        <v>0</v>
      </c>
      <c r="AS240" s="118" t="e">
        <f t="shared" si="93"/>
        <v>#DIV/0!</v>
      </c>
      <c r="AT240" s="118" t="e">
        <f t="shared" si="94"/>
        <v>#DIV/0!</v>
      </c>
      <c r="BB240" s="106">
        <f t="shared" si="72"/>
        <v>0</v>
      </c>
      <c r="BD240" s="50"/>
      <c r="BF240" s="106">
        <f t="shared" si="73"/>
        <v>0</v>
      </c>
      <c r="BG240" s="23"/>
      <c r="BH240" s="23"/>
      <c r="BL240" s="114">
        <f t="shared" si="83"/>
        <v>0</v>
      </c>
    </row>
    <row r="241" spans="1:64" x14ac:dyDescent="0.2">
      <c r="A241" s="13" t="str">
        <f t="shared" si="68"/>
        <v>2026Q4</v>
      </c>
      <c r="B241" s="11">
        <f t="shared" si="90"/>
        <v>2026</v>
      </c>
      <c r="C241" s="11" t="s">
        <v>4</v>
      </c>
      <c r="F241" s="87">
        <f t="shared" si="69"/>
        <v>0</v>
      </c>
      <c r="I241" s="93">
        <f t="shared" si="76"/>
        <v>0</v>
      </c>
      <c r="J241" s="95" t="e">
        <f t="shared" si="81"/>
        <v>#DIV/0!</v>
      </c>
      <c r="K241" s="95" t="e">
        <f t="shared" si="82"/>
        <v>#DIV/0!</v>
      </c>
      <c r="T241" s="96" t="e">
        <f t="shared" si="91"/>
        <v>#DIV/0!</v>
      </c>
      <c r="V241" s="96" t="e">
        <f t="shared" si="92"/>
        <v>#DIV/0!</v>
      </c>
      <c r="X241" s="96" t="e">
        <f t="shared" si="87"/>
        <v>#DIV/0!</v>
      </c>
      <c r="Z241" s="96" t="e">
        <f t="shared" si="88"/>
        <v>#DIV/0!</v>
      </c>
      <c r="AC241" s="105">
        <f t="shared" si="89"/>
        <v>0</v>
      </c>
      <c r="AF241" s="49">
        <f t="shared" si="84"/>
        <v>0</v>
      </c>
      <c r="AI241" s="109">
        <f t="shared" si="86"/>
        <v>0</v>
      </c>
      <c r="AL241" s="27">
        <f t="shared" si="85"/>
        <v>0</v>
      </c>
      <c r="AP241" s="106">
        <f t="shared" si="65"/>
        <v>0</v>
      </c>
      <c r="AS241" s="118" t="e">
        <f t="shared" si="93"/>
        <v>#DIV/0!</v>
      </c>
      <c r="AT241" s="118" t="e">
        <f t="shared" si="94"/>
        <v>#DIV/0!</v>
      </c>
      <c r="BB241" s="106">
        <f t="shared" si="72"/>
        <v>0</v>
      </c>
      <c r="BD241" s="50"/>
      <c r="BF241" s="106">
        <f t="shared" si="73"/>
        <v>0</v>
      </c>
      <c r="BG241" s="23"/>
      <c r="BH241" s="23"/>
      <c r="BL241" s="114">
        <f t="shared" si="83"/>
        <v>0</v>
      </c>
    </row>
    <row r="242" spans="1:64" x14ac:dyDescent="0.2">
      <c r="A242" s="13" t="str">
        <f t="shared" si="68"/>
        <v>2027Q1</v>
      </c>
      <c r="B242" s="11">
        <f t="shared" si="90"/>
        <v>2027</v>
      </c>
      <c r="C242" s="11" t="s">
        <v>1</v>
      </c>
      <c r="F242" s="87">
        <f t="shared" si="69"/>
        <v>0</v>
      </c>
      <c r="I242" s="93">
        <f t="shared" si="76"/>
        <v>0</v>
      </c>
      <c r="J242" s="95" t="e">
        <f t="shared" si="81"/>
        <v>#DIV/0!</v>
      </c>
      <c r="K242" s="95" t="e">
        <f t="shared" si="82"/>
        <v>#DIV/0!</v>
      </c>
      <c r="T242" s="96" t="e">
        <f t="shared" si="91"/>
        <v>#DIV/0!</v>
      </c>
      <c r="V242" s="96" t="e">
        <f t="shared" si="92"/>
        <v>#DIV/0!</v>
      </c>
      <c r="X242" s="96" t="e">
        <f t="shared" si="87"/>
        <v>#DIV/0!</v>
      </c>
      <c r="Z242" s="96" t="e">
        <f t="shared" si="88"/>
        <v>#DIV/0!</v>
      </c>
      <c r="AC242" s="105">
        <f t="shared" si="89"/>
        <v>0</v>
      </c>
      <c r="AF242" s="49">
        <f t="shared" si="84"/>
        <v>0</v>
      </c>
      <c r="AI242" s="109">
        <f t="shared" si="86"/>
        <v>0</v>
      </c>
      <c r="AL242" s="27">
        <f t="shared" si="85"/>
        <v>0</v>
      </c>
      <c r="AP242" s="106">
        <f t="shared" si="65"/>
        <v>0</v>
      </c>
      <c r="AS242" s="118" t="e">
        <f t="shared" si="93"/>
        <v>#DIV/0!</v>
      </c>
      <c r="AT242" s="118" t="e">
        <f t="shared" si="94"/>
        <v>#DIV/0!</v>
      </c>
      <c r="BB242" s="106">
        <f t="shared" si="72"/>
        <v>0</v>
      </c>
      <c r="BD242" s="50"/>
      <c r="BF242" s="106">
        <f t="shared" si="73"/>
        <v>0</v>
      </c>
      <c r="BG242" s="23"/>
      <c r="BH242" s="23"/>
      <c r="BL242" s="114">
        <f t="shared" si="83"/>
        <v>0</v>
      </c>
    </row>
    <row r="243" spans="1:64" x14ac:dyDescent="0.2">
      <c r="A243" s="13" t="str">
        <f t="shared" si="68"/>
        <v>2027Q2</v>
      </c>
      <c r="B243" s="11">
        <f t="shared" si="90"/>
        <v>2027</v>
      </c>
      <c r="C243" s="11" t="s">
        <v>2</v>
      </c>
      <c r="F243" s="87">
        <f t="shared" si="69"/>
        <v>0</v>
      </c>
      <c r="I243" s="93">
        <f t="shared" si="76"/>
        <v>0</v>
      </c>
      <c r="J243" s="95" t="e">
        <f t="shared" si="81"/>
        <v>#DIV/0!</v>
      </c>
      <c r="K243" s="95" t="e">
        <f t="shared" si="82"/>
        <v>#DIV/0!</v>
      </c>
      <c r="T243" s="96" t="e">
        <f t="shared" si="91"/>
        <v>#DIV/0!</v>
      </c>
      <c r="V243" s="96" t="e">
        <f t="shared" si="92"/>
        <v>#DIV/0!</v>
      </c>
      <c r="X243" s="96" t="e">
        <f t="shared" si="87"/>
        <v>#DIV/0!</v>
      </c>
      <c r="Z243" s="96" t="e">
        <f t="shared" si="88"/>
        <v>#DIV/0!</v>
      </c>
      <c r="AC243" s="105">
        <f t="shared" si="89"/>
        <v>0</v>
      </c>
      <c r="AF243" s="49">
        <f t="shared" si="84"/>
        <v>0</v>
      </c>
      <c r="AI243" s="109">
        <f t="shared" si="86"/>
        <v>0</v>
      </c>
      <c r="AL243" s="27">
        <f t="shared" si="85"/>
        <v>0</v>
      </c>
      <c r="AP243" s="106">
        <f t="shared" si="65"/>
        <v>0</v>
      </c>
      <c r="AS243" s="118" t="e">
        <f t="shared" si="93"/>
        <v>#DIV/0!</v>
      </c>
      <c r="AT243" s="118" t="e">
        <f t="shared" si="94"/>
        <v>#DIV/0!</v>
      </c>
      <c r="BB243" s="106">
        <f t="shared" si="72"/>
        <v>0</v>
      </c>
      <c r="BD243" s="50"/>
      <c r="BF243" s="106">
        <f t="shared" si="73"/>
        <v>0</v>
      </c>
      <c r="BG243" s="23"/>
      <c r="BH243" s="23"/>
      <c r="BL243" s="114">
        <f t="shared" si="83"/>
        <v>0</v>
      </c>
    </row>
    <row r="244" spans="1:64" x14ac:dyDescent="0.2">
      <c r="A244" s="13" t="str">
        <f t="shared" si="68"/>
        <v>2027Q3</v>
      </c>
      <c r="B244" s="11">
        <f t="shared" si="90"/>
        <v>2027</v>
      </c>
      <c r="C244" s="11" t="s">
        <v>3</v>
      </c>
      <c r="F244" s="87">
        <f t="shared" si="69"/>
        <v>0</v>
      </c>
      <c r="I244" s="93">
        <f t="shared" si="76"/>
        <v>0</v>
      </c>
      <c r="J244" s="95" t="e">
        <f t="shared" ref="J244:J275" si="95">SUM(F241:F244,O241:O244)/AVERAGE(G241:G244)*100</f>
        <v>#DIV/0!</v>
      </c>
      <c r="K244" s="95" t="e">
        <f t="shared" ref="K244:K275" si="96">SUM(F241:F244,O241:O244)/AVERAGE(H241:H244)*100</f>
        <v>#DIV/0!</v>
      </c>
      <c r="T244" s="96" t="e">
        <f t="shared" si="91"/>
        <v>#DIV/0!</v>
      </c>
      <c r="V244" s="96" t="e">
        <f t="shared" si="92"/>
        <v>#DIV/0!</v>
      </c>
      <c r="X244" s="96" t="e">
        <f t="shared" si="87"/>
        <v>#DIV/0!</v>
      </c>
      <c r="Z244" s="96" t="e">
        <f t="shared" si="88"/>
        <v>#DIV/0!</v>
      </c>
      <c r="AC244" s="105">
        <f t="shared" si="89"/>
        <v>0</v>
      </c>
      <c r="AF244" s="49">
        <f t="shared" si="84"/>
        <v>0</v>
      </c>
      <c r="AI244" s="109">
        <f t="shared" si="86"/>
        <v>0</v>
      </c>
      <c r="AL244" s="27">
        <f t="shared" si="85"/>
        <v>0</v>
      </c>
      <c r="AP244" s="106">
        <f t="shared" si="65"/>
        <v>0</v>
      </c>
      <c r="AS244" s="118" t="e">
        <f t="shared" si="93"/>
        <v>#DIV/0!</v>
      </c>
      <c r="AT244" s="118" t="e">
        <f t="shared" si="94"/>
        <v>#DIV/0!</v>
      </c>
      <c r="BB244" s="106">
        <f t="shared" si="72"/>
        <v>0</v>
      </c>
      <c r="BD244" s="50"/>
      <c r="BF244" s="106">
        <f t="shared" si="73"/>
        <v>0</v>
      </c>
      <c r="BG244" s="23"/>
      <c r="BH244" s="23"/>
      <c r="BL244" s="114">
        <f t="shared" ref="BL244:BL275" si="97">BI244+BJ244+BK244</f>
        <v>0</v>
      </c>
    </row>
    <row r="245" spans="1:64" x14ac:dyDescent="0.2">
      <c r="A245" s="13" t="str">
        <f t="shared" si="68"/>
        <v>2027Q4</v>
      </c>
      <c r="B245" s="11">
        <f t="shared" si="90"/>
        <v>2027</v>
      </c>
      <c r="C245" s="11" t="s">
        <v>4</v>
      </c>
      <c r="F245" s="87">
        <f t="shared" si="69"/>
        <v>0</v>
      </c>
      <c r="I245" s="93">
        <f t="shared" si="76"/>
        <v>0</v>
      </c>
      <c r="J245" s="95" t="e">
        <f t="shared" si="95"/>
        <v>#DIV/0!</v>
      </c>
      <c r="K245" s="95" t="e">
        <f t="shared" si="96"/>
        <v>#DIV/0!</v>
      </c>
      <c r="T245" s="96" t="e">
        <f t="shared" si="91"/>
        <v>#DIV/0!</v>
      </c>
      <c r="V245" s="96" t="e">
        <f t="shared" si="92"/>
        <v>#DIV/0!</v>
      </c>
      <c r="X245" s="96" t="e">
        <f t="shared" si="87"/>
        <v>#DIV/0!</v>
      </c>
      <c r="Z245" s="96" t="e">
        <f t="shared" si="88"/>
        <v>#DIV/0!</v>
      </c>
      <c r="AC245" s="105">
        <f t="shared" si="89"/>
        <v>0</v>
      </c>
      <c r="AF245" s="49">
        <f t="shared" si="84"/>
        <v>0</v>
      </c>
      <c r="AI245" s="109">
        <f t="shared" si="86"/>
        <v>0</v>
      </c>
      <c r="AL245" s="27">
        <f t="shared" si="85"/>
        <v>0</v>
      </c>
      <c r="AP245" s="106">
        <f t="shared" si="65"/>
        <v>0</v>
      </c>
      <c r="AS245" s="118" t="e">
        <f t="shared" si="93"/>
        <v>#DIV/0!</v>
      </c>
      <c r="AT245" s="118" t="e">
        <f t="shared" si="94"/>
        <v>#DIV/0!</v>
      </c>
      <c r="BB245" s="106">
        <f t="shared" si="72"/>
        <v>0</v>
      </c>
      <c r="BD245" s="50"/>
      <c r="BF245" s="106">
        <f t="shared" si="73"/>
        <v>0</v>
      </c>
      <c r="BG245" s="23"/>
      <c r="BH245" s="23"/>
      <c r="BL245" s="114">
        <f t="shared" si="97"/>
        <v>0</v>
      </c>
    </row>
    <row r="246" spans="1:64" x14ac:dyDescent="0.2">
      <c r="A246" s="13" t="str">
        <f t="shared" si="68"/>
        <v>2028Q1</v>
      </c>
      <c r="B246" s="11">
        <f t="shared" si="90"/>
        <v>2028</v>
      </c>
      <c r="C246" s="11" t="s">
        <v>1</v>
      </c>
      <c r="F246" s="87">
        <f t="shared" si="69"/>
        <v>0</v>
      </c>
      <c r="I246" s="93">
        <f t="shared" si="76"/>
        <v>0</v>
      </c>
      <c r="J246" s="95" t="e">
        <f t="shared" si="95"/>
        <v>#DIV/0!</v>
      </c>
      <c r="K246" s="95" t="e">
        <f t="shared" si="96"/>
        <v>#DIV/0!</v>
      </c>
      <c r="T246" s="96" t="e">
        <f t="shared" si="91"/>
        <v>#DIV/0!</v>
      </c>
      <c r="V246" s="96" t="e">
        <f t="shared" si="92"/>
        <v>#DIV/0!</v>
      </c>
      <c r="X246" s="96" t="e">
        <f t="shared" si="87"/>
        <v>#DIV/0!</v>
      </c>
      <c r="Z246" s="96" t="e">
        <f t="shared" si="88"/>
        <v>#DIV/0!</v>
      </c>
      <c r="AC246" s="105">
        <f t="shared" si="89"/>
        <v>0</v>
      </c>
      <c r="AF246" s="49">
        <f t="shared" ref="AF246:AF277" si="98">AD246+AE246</f>
        <v>0</v>
      </c>
      <c r="AI246" s="109">
        <f t="shared" si="86"/>
        <v>0</v>
      </c>
      <c r="AL246" s="27">
        <f t="shared" si="85"/>
        <v>0</v>
      </c>
      <c r="AP246" s="106">
        <f t="shared" ref="AP246:AP293" si="99">AN246+AO246</f>
        <v>0</v>
      </c>
      <c r="AS246" s="118" t="e">
        <f t="shared" si="93"/>
        <v>#DIV/0!</v>
      </c>
      <c r="AT246" s="118" t="e">
        <f t="shared" si="94"/>
        <v>#DIV/0!</v>
      </c>
      <c r="BB246" s="106">
        <f t="shared" si="72"/>
        <v>0</v>
      </c>
      <c r="BD246" s="50"/>
      <c r="BF246" s="106">
        <f t="shared" si="73"/>
        <v>0</v>
      </c>
      <c r="BG246" s="23"/>
      <c r="BH246" s="23"/>
      <c r="BL246" s="114">
        <f t="shared" si="97"/>
        <v>0</v>
      </c>
    </row>
    <row r="247" spans="1:64" x14ac:dyDescent="0.2">
      <c r="A247" s="13" t="str">
        <f t="shared" si="68"/>
        <v>2028Q2</v>
      </c>
      <c r="B247" s="11">
        <f t="shared" si="90"/>
        <v>2028</v>
      </c>
      <c r="C247" s="11" t="s">
        <v>2</v>
      </c>
      <c r="F247" s="87">
        <f t="shared" si="69"/>
        <v>0</v>
      </c>
      <c r="I247" s="93">
        <f t="shared" si="76"/>
        <v>0</v>
      </c>
      <c r="J247" s="95" t="e">
        <f t="shared" si="95"/>
        <v>#DIV/0!</v>
      </c>
      <c r="K247" s="95" t="e">
        <f t="shared" si="96"/>
        <v>#DIV/0!</v>
      </c>
      <c r="T247" s="96" t="e">
        <f t="shared" si="91"/>
        <v>#DIV/0!</v>
      </c>
      <c r="V247" s="96" t="e">
        <f t="shared" si="92"/>
        <v>#DIV/0!</v>
      </c>
      <c r="X247" s="96" t="e">
        <f t="shared" si="87"/>
        <v>#DIV/0!</v>
      </c>
      <c r="Z247" s="96" t="e">
        <f t="shared" si="88"/>
        <v>#DIV/0!</v>
      </c>
      <c r="AC247" s="105">
        <f t="shared" si="89"/>
        <v>0</v>
      </c>
      <c r="AF247" s="49">
        <f t="shared" si="98"/>
        <v>0</v>
      </c>
      <c r="AI247" s="109">
        <f t="shared" si="86"/>
        <v>0</v>
      </c>
      <c r="AL247" s="27">
        <f t="shared" si="85"/>
        <v>0</v>
      </c>
      <c r="AP247" s="106">
        <f t="shared" si="99"/>
        <v>0</v>
      </c>
      <c r="AS247" s="118" t="e">
        <f t="shared" si="93"/>
        <v>#DIV/0!</v>
      </c>
      <c r="AT247" s="118" t="e">
        <f t="shared" si="94"/>
        <v>#DIV/0!</v>
      </c>
      <c r="BB247" s="106">
        <f t="shared" si="72"/>
        <v>0</v>
      </c>
      <c r="BD247" s="50"/>
      <c r="BF247" s="106">
        <f t="shared" si="73"/>
        <v>0</v>
      </c>
      <c r="BG247" s="23"/>
      <c r="BH247" s="23"/>
      <c r="BL247" s="114">
        <f t="shared" si="97"/>
        <v>0</v>
      </c>
    </row>
    <row r="248" spans="1:64" x14ac:dyDescent="0.2">
      <c r="A248" s="13" t="str">
        <f t="shared" si="68"/>
        <v>2028Q3</v>
      </c>
      <c r="B248" s="11">
        <f t="shared" si="90"/>
        <v>2028</v>
      </c>
      <c r="C248" s="11" t="s">
        <v>3</v>
      </c>
      <c r="F248" s="87">
        <f t="shared" si="69"/>
        <v>0</v>
      </c>
      <c r="I248" s="93">
        <f t="shared" si="76"/>
        <v>0</v>
      </c>
      <c r="J248" s="95" t="e">
        <f t="shared" si="95"/>
        <v>#DIV/0!</v>
      </c>
      <c r="K248" s="95" t="e">
        <f t="shared" si="96"/>
        <v>#DIV/0!</v>
      </c>
      <c r="T248" s="96" t="e">
        <f t="shared" si="91"/>
        <v>#DIV/0!</v>
      </c>
      <c r="V248" s="96" t="e">
        <f t="shared" si="92"/>
        <v>#DIV/0!</v>
      </c>
      <c r="X248" s="96" t="e">
        <f t="shared" si="87"/>
        <v>#DIV/0!</v>
      </c>
      <c r="Z248" s="96" t="e">
        <f t="shared" si="88"/>
        <v>#DIV/0!</v>
      </c>
      <c r="AC248" s="105">
        <f t="shared" si="89"/>
        <v>0</v>
      </c>
      <c r="AF248" s="49">
        <f t="shared" si="98"/>
        <v>0</v>
      </c>
      <c r="AI248" s="109">
        <f t="shared" si="86"/>
        <v>0</v>
      </c>
      <c r="AL248" s="27">
        <f t="shared" si="85"/>
        <v>0</v>
      </c>
      <c r="AP248" s="106">
        <f t="shared" si="99"/>
        <v>0</v>
      </c>
      <c r="AS248" s="118" t="e">
        <f t="shared" si="93"/>
        <v>#DIV/0!</v>
      </c>
      <c r="AT248" s="118" t="e">
        <f t="shared" si="94"/>
        <v>#DIV/0!</v>
      </c>
      <c r="BB248" s="106">
        <f t="shared" si="72"/>
        <v>0</v>
      </c>
      <c r="BD248" s="50"/>
      <c r="BF248" s="106">
        <f t="shared" si="73"/>
        <v>0</v>
      </c>
      <c r="BG248" s="23"/>
      <c r="BH248" s="23"/>
      <c r="BL248" s="114">
        <f t="shared" si="97"/>
        <v>0</v>
      </c>
    </row>
    <row r="249" spans="1:64" x14ac:dyDescent="0.2">
      <c r="A249" s="13" t="str">
        <f t="shared" si="68"/>
        <v>2028Q4</v>
      </c>
      <c r="B249" s="11">
        <f t="shared" si="90"/>
        <v>2028</v>
      </c>
      <c r="C249" s="11" t="s">
        <v>4</v>
      </c>
      <c r="F249" s="87">
        <f t="shared" si="69"/>
        <v>0</v>
      </c>
      <c r="I249" s="93">
        <f t="shared" si="76"/>
        <v>0</v>
      </c>
      <c r="J249" s="95" t="e">
        <f t="shared" si="95"/>
        <v>#DIV/0!</v>
      </c>
      <c r="K249" s="95" t="e">
        <f t="shared" si="96"/>
        <v>#DIV/0!</v>
      </c>
      <c r="T249" s="96" t="e">
        <f t="shared" si="91"/>
        <v>#DIV/0!</v>
      </c>
      <c r="V249" s="96" t="e">
        <f t="shared" si="92"/>
        <v>#DIV/0!</v>
      </c>
      <c r="X249" s="96" t="e">
        <f t="shared" si="87"/>
        <v>#DIV/0!</v>
      </c>
      <c r="Z249" s="96" t="e">
        <f t="shared" si="88"/>
        <v>#DIV/0!</v>
      </c>
      <c r="AC249" s="105">
        <f t="shared" si="89"/>
        <v>0</v>
      </c>
      <c r="AF249" s="49">
        <f t="shared" si="98"/>
        <v>0</v>
      </c>
      <c r="AI249" s="109">
        <f t="shared" si="86"/>
        <v>0</v>
      </c>
      <c r="AL249" s="27">
        <f t="shared" si="85"/>
        <v>0</v>
      </c>
      <c r="AP249" s="106">
        <f t="shared" si="99"/>
        <v>0</v>
      </c>
      <c r="AS249" s="118" t="e">
        <f t="shared" si="93"/>
        <v>#DIV/0!</v>
      </c>
      <c r="AT249" s="118" t="e">
        <f t="shared" si="94"/>
        <v>#DIV/0!</v>
      </c>
      <c r="BB249" s="106">
        <f t="shared" si="72"/>
        <v>0</v>
      </c>
      <c r="BD249" s="50"/>
      <c r="BF249" s="106">
        <f t="shared" si="73"/>
        <v>0</v>
      </c>
      <c r="BG249" s="23"/>
      <c r="BH249" s="23"/>
      <c r="BL249" s="114">
        <f t="shared" si="97"/>
        <v>0</v>
      </c>
    </row>
    <row r="250" spans="1:64" x14ac:dyDescent="0.2">
      <c r="A250" s="13" t="str">
        <f t="shared" si="68"/>
        <v>2029Q1</v>
      </c>
      <c r="B250" s="11">
        <f t="shared" si="90"/>
        <v>2029</v>
      </c>
      <c r="C250" s="11" t="s">
        <v>1</v>
      </c>
      <c r="F250" s="87">
        <f t="shared" si="69"/>
        <v>0</v>
      </c>
      <c r="I250" s="93">
        <f t="shared" si="76"/>
        <v>0</v>
      </c>
      <c r="J250" s="95" t="e">
        <f t="shared" si="95"/>
        <v>#DIV/0!</v>
      </c>
      <c r="K250" s="95" t="e">
        <f t="shared" si="96"/>
        <v>#DIV/0!</v>
      </c>
      <c r="T250" s="96" t="e">
        <f t="shared" si="91"/>
        <v>#DIV/0!</v>
      </c>
      <c r="V250" s="96" t="e">
        <f t="shared" si="92"/>
        <v>#DIV/0!</v>
      </c>
      <c r="X250" s="96" t="e">
        <f t="shared" si="87"/>
        <v>#DIV/0!</v>
      </c>
      <c r="Z250" s="96" t="e">
        <f t="shared" si="88"/>
        <v>#DIV/0!</v>
      </c>
      <c r="AC250" s="105">
        <f t="shared" si="89"/>
        <v>0</v>
      </c>
      <c r="AF250" s="49">
        <f t="shared" si="98"/>
        <v>0</v>
      </c>
      <c r="AI250" s="109">
        <f t="shared" si="86"/>
        <v>0</v>
      </c>
      <c r="AL250" s="27">
        <f t="shared" si="85"/>
        <v>0</v>
      </c>
      <c r="AP250" s="106">
        <f t="shared" si="99"/>
        <v>0</v>
      </c>
      <c r="AS250" s="118" t="e">
        <f t="shared" si="93"/>
        <v>#DIV/0!</v>
      </c>
      <c r="AT250" s="118" t="e">
        <f t="shared" si="94"/>
        <v>#DIV/0!</v>
      </c>
      <c r="BB250" s="106">
        <f t="shared" si="72"/>
        <v>0</v>
      </c>
      <c r="BD250" s="50"/>
      <c r="BF250" s="106">
        <f t="shared" si="73"/>
        <v>0</v>
      </c>
      <c r="BG250" s="23"/>
      <c r="BH250" s="23"/>
      <c r="BL250" s="114">
        <f t="shared" si="97"/>
        <v>0</v>
      </c>
    </row>
    <row r="251" spans="1:64" x14ac:dyDescent="0.2">
      <c r="A251" s="13" t="str">
        <f t="shared" si="68"/>
        <v>2029Q2</v>
      </c>
      <c r="B251" s="11">
        <f t="shared" si="90"/>
        <v>2029</v>
      </c>
      <c r="C251" s="11" t="s">
        <v>2</v>
      </c>
      <c r="F251" s="87">
        <f t="shared" si="69"/>
        <v>0</v>
      </c>
      <c r="I251" s="93">
        <f t="shared" si="76"/>
        <v>0</v>
      </c>
      <c r="J251" s="95" t="e">
        <f t="shared" si="95"/>
        <v>#DIV/0!</v>
      </c>
      <c r="K251" s="95" t="e">
        <f t="shared" si="96"/>
        <v>#DIV/0!</v>
      </c>
      <c r="T251" s="96" t="e">
        <f t="shared" si="91"/>
        <v>#DIV/0!</v>
      </c>
      <c r="V251" s="96" t="e">
        <f t="shared" si="92"/>
        <v>#DIV/0!</v>
      </c>
      <c r="X251" s="96" t="e">
        <f t="shared" si="87"/>
        <v>#DIV/0!</v>
      </c>
      <c r="Z251" s="96" t="e">
        <f t="shared" si="88"/>
        <v>#DIV/0!</v>
      </c>
      <c r="AC251" s="105">
        <f t="shared" si="89"/>
        <v>0</v>
      </c>
      <c r="AF251" s="49">
        <f t="shared" si="98"/>
        <v>0</v>
      </c>
      <c r="AI251" s="109">
        <f t="shared" si="86"/>
        <v>0</v>
      </c>
      <c r="AL251" s="27">
        <f t="shared" ref="AL251:AL282" si="100">AJ251+AK251</f>
        <v>0</v>
      </c>
      <c r="AP251" s="106">
        <f t="shared" si="99"/>
        <v>0</v>
      </c>
      <c r="AS251" s="118" t="e">
        <f t="shared" si="93"/>
        <v>#DIV/0!</v>
      </c>
      <c r="AT251" s="118" t="e">
        <f t="shared" si="94"/>
        <v>#DIV/0!</v>
      </c>
      <c r="BB251" s="106">
        <f t="shared" si="72"/>
        <v>0</v>
      </c>
      <c r="BD251" s="50"/>
      <c r="BF251" s="106">
        <f t="shared" si="73"/>
        <v>0</v>
      </c>
      <c r="BG251" s="23"/>
      <c r="BH251" s="23"/>
      <c r="BL251" s="114">
        <f t="shared" si="97"/>
        <v>0</v>
      </c>
    </row>
    <row r="252" spans="1:64" x14ac:dyDescent="0.2">
      <c r="A252" s="13" t="str">
        <f t="shared" si="68"/>
        <v>2029Q3</v>
      </c>
      <c r="B252" s="11">
        <f t="shared" si="90"/>
        <v>2029</v>
      </c>
      <c r="C252" s="11" t="s">
        <v>3</v>
      </c>
      <c r="F252" s="87">
        <f t="shared" si="69"/>
        <v>0</v>
      </c>
      <c r="I252" s="93">
        <f t="shared" si="76"/>
        <v>0</v>
      </c>
      <c r="J252" s="95" t="e">
        <f t="shared" si="95"/>
        <v>#DIV/0!</v>
      </c>
      <c r="K252" s="95" t="e">
        <f t="shared" si="96"/>
        <v>#DIV/0!</v>
      </c>
      <c r="T252" s="96" t="e">
        <f t="shared" si="91"/>
        <v>#DIV/0!</v>
      </c>
      <c r="V252" s="96" t="e">
        <f t="shared" si="92"/>
        <v>#DIV/0!</v>
      </c>
      <c r="X252" s="96" t="e">
        <f t="shared" si="87"/>
        <v>#DIV/0!</v>
      </c>
      <c r="Z252" s="96" t="e">
        <f t="shared" si="88"/>
        <v>#DIV/0!</v>
      </c>
      <c r="AC252" s="105">
        <f t="shared" si="89"/>
        <v>0</v>
      </c>
      <c r="AF252" s="49">
        <f t="shared" si="98"/>
        <v>0</v>
      </c>
      <c r="AI252" s="109">
        <f t="shared" si="86"/>
        <v>0</v>
      </c>
      <c r="AL252" s="27">
        <f t="shared" si="100"/>
        <v>0</v>
      </c>
      <c r="AP252" s="106">
        <f t="shared" si="99"/>
        <v>0</v>
      </c>
      <c r="AS252" s="118" t="e">
        <f t="shared" si="93"/>
        <v>#DIV/0!</v>
      </c>
      <c r="AT252" s="118" t="e">
        <f t="shared" si="94"/>
        <v>#DIV/0!</v>
      </c>
      <c r="BB252" s="106">
        <f t="shared" si="72"/>
        <v>0</v>
      </c>
      <c r="BD252" s="50"/>
      <c r="BF252" s="106">
        <f t="shared" si="73"/>
        <v>0</v>
      </c>
      <c r="BG252" s="23"/>
      <c r="BH252" s="23"/>
      <c r="BL252" s="114">
        <f t="shared" si="97"/>
        <v>0</v>
      </c>
    </row>
    <row r="253" spans="1:64" x14ac:dyDescent="0.2">
      <c r="A253" s="13" t="str">
        <f t="shared" si="68"/>
        <v>2029Q4</v>
      </c>
      <c r="B253" s="11">
        <f t="shared" si="90"/>
        <v>2029</v>
      </c>
      <c r="C253" s="11" t="s">
        <v>4</v>
      </c>
      <c r="F253" s="87">
        <f t="shared" si="69"/>
        <v>0</v>
      </c>
      <c r="I253" s="93">
        <f t="shared" si="76"/>
        <v>0</v>
      </c>
      <c r="J253" s="95" t="e">
        <f t="shared" si="95"/>
        <v>#DIV/0!</v>
      </c>
      <c r="K253" s="95" t="e">
        <f t="shared" si="96"/>
        <v>#DIV/0!</v>
      </c>
      <c r="T253" s="96" t="e">
        <f t="shared" si="91"/>
        <v>#DIV/0!</v>
      </c>
      <c r="V253" s="96" t="e">
        <f t="shared" si="92"/>
        <v>#DIV/0!</v>
      </c>
      <c r="X253" s="96" t="e">
        <f t="shared" si="87"/>
        <v>#DIV/0!</v>
      </c>
      <c r="Z253" s="96" t="e">
        <f t="shared" si="88"/>
        <v>#DIV/0!</v>
      </c>
      <c r="AC253" s="105">
        <f t="shared" si="89"/>
        <v>0</v>
      </c>
      <c r="AF253" s="49">
        <f t="shared" si="98"/>
        <v>0</v>
      </c>
      <c r="AI253" s="109">
        <f t="shared" si="86"/>
        <v>0</v>
      </c>
      <c r="AL253" s="27">
        <f t="shared" si="100"/>
        <v>0</v>
      </c>
      <c r="AP253" s="106">
        <f t="shared" si="99"/>
        <v>0</v>
      </c>
      <c r="AS253" s="118" t="e">
        <f t="shared" si="93"/>
        <v>#DIV/0!</v>
      </c>
      <c r="AT253" s="118" t="e">
        <f t="shared" si="94"/>
        <v>#DIV/0!</v>
      </c>
      <c r="BB253" s="106">
        <f t="shared" si="72"/>
        <v>0</v>
      </c>
      <c r="BD253" s="50"/>
      <c r="BF253" s="106">
        <f t="shared" si="73"/>
        <v>0</v>
      </c>
      <c r="BG253" s="23"/>
      <c r="BH253" s="23"/>
      <c r="BL253" s="114">
        <f t="shared" si="97"/>
        <v>0</v>
      </c>
    </row>
    <row r="254" spans="1:64" x14ac:dyDescent="0.2">
      <c r="A254" s="13" t="str">
        <f t="shared" si="68"/>
        <v>2030Q1</v>
      </c>
      <c r="B254" s="11">
        <f t="shared" si="90"/>
        <v>2030</v>
      </c>
      <c r="C254" s="11" t="s">
        <v>1</v>
      </c>
      <c r="F254" s="87">
        <f t="shared" si="69"/>
        <v>0</v>
      </c>
      <c r="I254" s="93">
        <f t="shared" si="76"/>
        <v>0</v>
      </c>
      <c r="J254" s="95" t="e">
        <f t="shared" si="95"/>
        <v>#DIV/0!</v>
      </c>
      <c r="K254" s="95" t="e">
        <f t="shared" si="96"/>
        <v>#DIV/0!</v>
      </c>
      <c r="T254" s="96" t="e">
        <f t="shared" si="91"/>
        <v>#DIV/0!</v>
      </c>
      <c r="V254" s="96" t="e">
        <f t="shared" si="92"/>
        <v>#DIV/0!</v>
      </c>
      <c r="X254" s="96" t="e">
        <f t="shared" si="87"/>
        <v>#DIV/0!</v>
      </c>
      <c r="Z254" s="96" t="e">
        <f t="shared" si="88"/>
        <v>#DIV/0!</v>
      </c>
      <c r="AC254" s="105">
        <f t="shared" si="89"/>
        <v>0</v>
      </c>
      <c r="AF254" s="49">
        <f t="shared" si="98"/>
        <v>0</v>
      </c>
      <c r="AI254" s="109">
        <f t="shared" ref="AI254:AI285" si="101">AG254+AH254</f>
        <v>0</v>
      </c>
      <c r="AL254" s="27">
        <f t="shared" si="100"/>
        <v>0</v>
      </c>
      <c r="AP254" s="106">
        <f t="shared" si="99"/>
        <v>0</v>
      </c>
      <c r="AS254" s="118" t="e">
        <f t="shared" si="93"/>
        <v>#DIV/0!</v>
      </c>
      <c r="AT254" s="118" t="e">
        <f t="shared" si="94"/>
        <v>#DIV/0!</v>
      </c>
      <c r="BB254" s="106">
        <f t="shared" si="72"/>
        <v>0</v>
      </c>
      <c r="BD254" s="50"/>
      <c r="BF254" s="106">
        <f t="shared" si="73"/>
        <v>0</v>
      </c>
      <c r="BG254" s="23"/>
      <c r="BH254" s="23"/>
      <c r="BL254" s="114">
        <f t="shared" si="97"/>
        <v>0</v>
      </c>
    </row>
    <row r="255" spans="1:64" x14ac:dyDescent="0.2">
      <c r="A255" s="13" t="str">
        <f t="shared" si="68"/>
        <v>2030Q2</v>
      </c>
      <c r="B255" s="11">
        <f t="shared" si="90"/>
        <v>2030</v>
      </c>
      <c r="C255" s="11" t="s">
        <v>2</v>
      </c>
      <c r="F255" s="87">
        <f t="shared" si="69"/>
        <v>0</v>
      </c>
      <c r="I255" s="93">
        <f t="shared" si="76"/>
        <v>0</v>
      </c>
      <c r="J255" s="95" t="e">
        <f t="shared" si="95"/>
        <v>#DIV/0!</v>
      </c>
      <c r="K255" s="95" t="e">
        <f t="shared" si="96"/>
        <v>#DIV/0!</v>
      </c>
      <c r="T255" s="96" t="e">
        <f t="shared" si="91"/>
        <v>#DIV/0!</v>
      </c>
      <c r="V255" s="96" t="e">
        <f t="shared" si="92"/>
        <v>#DIV/0!</v>
      </c>
      <c r="X255" s="96" t="e">
        <f t="shared" si="87"/>
        <v>#DIV/0!</v>
      </c>
      <c r="Z255" s="96" t="e">
        <f t="shared" si="88"/>
        <v>#DIV/0!</v>
      </c>
      <c r="AC255" s="105">
        <f t="shared" si="89"/>
        <v>0</v>
      </c>
      <c r="AF255" s="49">
        <f t="shared" si="98"/>
        <v>0</v>
      </c>
      <c r="AI255" s="109">
        <f t="shared" si="101"/>
        <v>0</v>
      </c>
      <c r="AL255" s="27">
        <f t="shared" si="100"/>
        <v>0</v>
      </c>
      <c r="AP255" s="106">
        <f t="shared" si="99"/>
        <v>0</v>
      </c>
      <c r="AS255" s="118" t="e">
        <f t="shared" si="93"/>
        <v>#DIV/0!</v>
      </c>
      <c r="AT255" s="118" t="e">
        <f t="shared" si="94"/>
        <v>#DIV/0!</v>
      </c>
      <c r="BB255" s="106">
        <f t="shared" si="72"/>
        <v>0</v>
      </c>
      <c r="BD255" s="50"/>
      <c r="BF255" s="106">
        <f t="shared" si="73"/>
        <v>0</v>
      </c>
      <c r="BG255" s="23"/>
      <c r="BH255" s="23"/>
      <c r="BL255" s="114">
        <f t="shared" si="97"/>
        <v>0</v>
      </c>
    </row>
    <row r="256" spans="1:64" x14ac:dyDescent="0.2">
      <c r="A256" s="13" t="str">
        <f t="shared" si="68"/>
        <v>2030Q3</v>
      </c>
      <c r="B256" s="11">
        <f t="shared" si="90"/>
        <v>2030</v>
      </c>
      <c r="C256" s="11" t="s">
        <v>3</v>
      </c>
      <c r="F256" s="87">
        <f t="shared" si="69"/>
        <v>0</v>
      </c>
      <c r="I256" s="93">
        <f t="shared" si="76"/>
        <v>0</v>
      </c>
      <c r="J256" s="95" t="e">
        <f t="shared" si="95"/>
        <v>#DIV/0!</v>
      </c>
      <c r="K256" s="95" t="e">
        <f t="shared" si="96"/>
        <v>#DIV/0!</v>
      </c>
      <c r="T256" s="96" t="e">
        <f t="shared" si="91"/>
        <v>#DIV/0!</v>
      </c>
      <c r="V256" s="96" t="e">
        <f t="shared" si="92"/>
        <v>#DIV/0!</v>
      </c>
      <c r="X256" s="96" t="e">
        <f t="shared" si="87"/>
        <v>#DIV/0!</v>
      </c>
      <c r="Z256" s="96" t="e">
        <f t="shared" si="88"/>
        <v>#DIV/0!</v>
      </c>
      <c r="AC256" s="105">
        <f t="shared" si="89"/>
        <v>0</v>
      </c>
      <c r="AF256" s="49">
        <f t="shared" si="98"/>
        <v>0</v>
      </c>
      <c r="AI256" s="109">
        <f t="shared" si="101"/>
        <v>0</v>
      </c>
      <c r="AL256" s="27">
        <f t="shared" si="100"/>
        <v>0</v>
      </c>
      <c r="AP256" s="106">
        <f t="shared" si="99"/>
        <v>0</v>
      </c>
      <c r="AS256" s="118" t="e">
        <f t="shared" si="93"/>
        <v>#DIV/0!</v>
      </c>
      <c r="AT256" s="118" t="e">
        <f t="shared" si="94"/>
        <v>#DIV/0!</v>
      </c>
      <c r="BB256" s="106">
        <f t="shared" si="72"/>
        <v>0</v>
      </c>
      <c r="BD256" s="50"/>
      <c r="BF256" s="106">
        <f t="shared" si="73"/>
        <v>0</v>
      </c>
      <c r="BG256" s="23"/>
      <c r="BH256" s="23"/>
      <c r="BL256" s="114">
        <f t="shared" si="97"/>
        <v>0</v>
      </c>
    </row>
    <row r="257" spans="1:64" x14ac:dyDescent="0.2">
      <c r="A257" s="13" t="str">
        <f t="shared" si="68"/>
        <v>2030Q4</v>
      </c>
      <c r="B257" s="11">
        <f t="shared" si="90"/>
        <v>2030</v>
      </c>
      <c r="C257" s="11" t="s">
        <v>4</v>
      </c>
      <c r="F257" s="87">
        <f t="shared" si="69"/>
        <v>0</v>
      </c>
      <c r="I257" s="93">
        <f t="shared" si="76"/>
        <v>0</v>
      </c>
      <c r="J257" s="95" t="e">
        <f t="shared" si="95"/>
        <v>#DIV/0!</v>
      </c>
      <c r="K257" s="95" t="e">
        <f t="shared" si="96"/>
        <v>#DIV/0!</v>
      </c>
      <c r="T257" s="96" t="e">
        <f t="shared" si="91"/>
        <v>#DIV/0!</v>
      </c>
      <c r="V257" s="96" t="e">
        <f t="shared" si="92"/>
        <v>#DIV/0!</v>
      </c>
      <c r="X257" s="96" t="e">
        <f t="shared" si="87"/>
        <v>#DIV/0!</v>
      </c>
      <c r="Z257" s="96" t="e">
        <f t="shared" si="88"/>
        <v>#DIV/0!</v>
      </c>
      <c r="AC257" s="105">
        <f t="shared" si="89"/>
        <v>0</v>
      </c>
      <c r="AF257" s="49">
        <f t="shared" si="98"/>
        <v>0</v>
      </c>
      <c r="AI257" s="109">
        <f t="shared" si="101"/>
        <v>0</v>
      </c>
      <c r="AL257" s="27">
        <f t="shared" si="100"/>
        <v>0</v>
      </c>
      <c r="AP257" s="106">
        <f t="shared" si="99"/>
        <v>0</v>
      </c>
      <c r="AS257" s="118" t="e">
        <f t="shared" si="93"/>
        <v>#DIV/0!</v>
      </c>
      <c r="AT257" s="118" t="e">
        <f t="shared" si="94"/>
        <v>#DIV/0!</v>
      </c>
      <c r="BB257" s="106">
        <f t="shared" si="72"/>
        <v>0</v>
      </c>
      <c r="BD257" s="50"/>
      <c r="BF257" s="106">
        <f t="shared" si="73"/>
        <v>0</v>
      </c>
      <c r="BG257" s="23"/>
      <c r="BH257" s="23"/>
      <c r="BL257" s="114">
        <f t="shared" si="97"/>
        <v>0</v>
      </c>
    </row>
    <row r="258" spans="1:64" x14ac:dyDescent="0.2">
      <c r="A258" s="13" t="str">
        <f t="shared" si="68"/>
        <v>2031Q1</v>
      </c>
      <c r="B258" s="11">
        <f t="shared" si="90"/>
        <v>2031</v>
      </c>
      <c r="C258" s="11" t="s">
        <v>1</v>
      </c>
      <c r="F258" s="87">
        <f t="shared" si="69"/>
        <v>0</v>
      </c>
      <c r="I258" s="93">
        <f t="shared" si="76"/>
        <v>0</v>
      </c>
      <c r="J258" s="95" t="e">
        <f t="shared" si="95"/>
        <v>#DIV/0!</v>
      </c>
      <c r="K258" s="95" t="e">
        <f t="shared" si="96"/>
        <v>#DIV/0!</v>
      </c>
      <c r="T258" s="96" t="e">
        <f t="shared" si="91"/>
        <v>#DIV/0!</v>
      </c>
      <c r="V258" s="96" t="e">
        <f t="shared" si="92"/>
        <v>#DIV/0!</v>
      </c>
      <c r="X258" s="96" t="e">
        <f t="shared" si="87"/>
        <v>#DIV/0!</v>
      </c>
      <c r="Z258" s="96" t="e">
        <f t="shared" si="88"/>
        <v>#DIV/0!</v>
      </c>
      <c r="AC258" s="105">
        <f t="shared" si="89"/>
        <v>0</v>
      </c>
      <c r="AF258" s="49">
        <f t="shared" si="98"/>
        <v>0</v>
      </c>
      <c r="AI258" s="109">
        <f t="shared" si="101"/>
        <v>0</v>
      </c>
      <c r="AL258" s="27">
        <f t="shared" si="100"/>
        <v>0</v>
      </c>
      <c r="AP258" s="106">
        <f t="shared" si="99"/>
        <v>0</v>
      </c>
      <c r="AS258" s="118" t="e">
        <f t="shared" si="93"/>
        <v>#DIV/0!</v>
      </c>
      <c r="AT258" s="118" t="e">
        <f t="shared" si="94"/>
        <v>#DIV/0!</v>
      </c>
      <c r="BB258" s="106">
        <f t="shared" si="72"/>
        <v>0</v>
      </c>
      <c r="BD258" s="50"/>
      <c r="BF258" s="106">
        <f t="shared" si="73"/>
        <v>0</v>
      </c>
      <c r="BG258" s="23"/>
      <c r="BH258" s="23"/>
      <c r="BL258" s="114">
        <f t="shared" si="97"/>
        <v>0</v>
      </c>
    </row>
    <row r="259" spans="1:64" x14ac:dyDescent="0.2">
      <c r="A259" s="13" t="str">
        <f t="shared" si="68"/>
        <v>2031Q2</v>
      </c>
      <c r="B259" s="11">
        <f t="shared" si="90"/>
        <v>2031</v>
      </c>
      <c r="C259" s="11" t="s">
        <v>2</v>
      </c>
      <c r="F259" s="87">
        <f t="shared" si="69"/>
        <v>0</v>
      </c>
      <c r="I259" s="93">
        <f t="shared" si="76"/>
        <v>0</v>
      </c>
      <c r="J259" s="95" t="e">
        <f t="shared" si="95"/>
        <v>#DIV/0!</v>
      </c>
      <c r="K259" s="95" t="e">
        <f t="shared" si="96"/>
        <v>#DIV/0!</v>
      </c>
      <c r="T259" s="96" t="e">
        <f t="shared" si="91"/>
        <v>#DIV/0!</v>
      </c>
      <c r="V259" s="96" t="e">
        <f t="shared" si="92"/>
        <v>#DIV/0!</v>
      </c>
      <c r="X259" s="96" t="e">
        <f t="shared" si="87"/>
        <v>#DIV/0!</v>
      </c>
      <c r="Z259" s="96" t="e">
        <f t="shared" si="88"/>
        <v>#DIV/0!</v>
      </c>
      <c r="AC259" s="105">
        <f t="shared" si="89"/>
        <v>0</v>
      </c>
      <c r="AF259" s="49">
        <f t="shared" si="98"/>
        <v>0</v>
      </c>
      <c r="AI259" s="109">
        <f t="shared" si="101"/>
        <v>0</v>
      </c>
      <c r="AL259" s="27">
        <f t="shared" si="100"/>
        <v>0</v>
      </c>
      <c r="AP259" s="106">
        <f t="shared" si="99"/>
        <v>0</v>
      </c>
      <c r="AS259" s="118" t="e">
        <f t="shared" si="93"/>
        <v>#DIV/0!</v>
      </c>
      <c r="AT259" s="118" t="e">
        <f t="shared" si="94"/>
        <v>#DIV/0!</v>
      </c>
      <c r="BB259" s="106">
        <f t="shared" si="72"/>
        <v>0</v>
      </c>
      <c r="BD259" s="50"/>
      <c r="BF259" s="106">
        <f t="shared" si="73"/>
        <v>0</v>
      </c>
      <c r="BG259" s="23"/>
      <c r="BH259" s="23"/>
      <c r="BL259" s="114">
        <f t="shared" si="97"/>
        <v>0</v>
      </c>
    </row>
    <row r="260" spans="1:64" x14ac:dyDescent="0.2">
      <c r="A260" s="13" t="str">
        <f t="shared" si="68"/>
        <v>2031Q3</v>
      </c>
      <c r="B260" s="11">
        <f t="shared" si="90"/>
        <v>2031</v>
      </c>
      <c r="C260" s="11" t="s">
        <v>3</v>
      </c>
      <c r="F260" s="87">
        <f t="shared" si="69"/>
        <v>0</v>
      </c>
      <c r="I260" s="93">
        <f t="shared" si="76"/>
        <v>0</v>
      </c>
      <c r="J260" s="95" t="e">
        <f t="shared" si="95"/>
        <v>#DIV/0!</v>
      </c>
      <c r="K260" s="95" t="e">
        <f t="shared" si="96"/>
        <v>#DIV/0!</v>
      </c>
      <c r="T260" s="96" t="e">
        <f t="shared" si="91"/>
        <v>#DIV/0!</v>
      </c>
      <c r="V260" s="96" t="e">
        <f t="shared" si="92"/>
        <v>#DIV/0!</v>
      </c>
      <c r="X260" s="96" t="e">
        <f t="shared" si="87"/>
        <v>#DIV/0!</v>
      </c>
      <c r="Z260" s="96" t="e">
        <f t="shared" si="88"/>
        <v>#DIV/0!</v>
      </c>
      <c r="AC260" s="105">
        <f t="shared" si="89"/>
        <v>0</v>
      </c>
      <c r="AF260" s="49">
        <f t="shared" si="98"/>
        <v>0</v>
      </c>
      <c r="AI260" s="109">
        <f t="shared" si="101"/>
        <v>0</v>
      </c>
      <c r="AL260" s="27">
        <f t="shared" si="100"/>
        <v>0</v>
      </c>
      <c r="AP260" s="106">
        <f t="shared" si="99"/>
        <v>0</v>
      </c>
      <c r="AS260" s="118" t="e">
        <f t="shared" si="93"/>
        <v>#DIV/0!</v>
      </c>
      <c r="AT260" s="118" t="e">
        <f t="shared" si="94"/>
        <v>#DIV/0!</v>
      </c>
      <c r="BB260" s="106">
        <f t="shared" si="72"/>
        <v>0</v>
      </c>
      <c r="BD260" s="50"/>
      <c r="BF260" s="106">
        <f t="shared" si="73"/>
        <v>0</v>
      </c>
      <c r="BG260" s="23"/>
      <c r="BH260" s="23"/>
      <c r="BL260" s="114">
        <f t="shared" si="97"/>
        <v>0</v>
      </c>
    </row>
    <row r="261" spans="1:64" x14ac:dyDescent="0.2">
      <c r="A261" s="13" t="str">
        <f t="shared" si="68"/>
        <v>2031Q4</v>
      </c>
      <c r="B261" s="11">
        <f t="shared" si="90"/>
        <v>2031</v>
      </c>
      <c r="C261" s="11" t="s">
        <v>4</v>
      </c>
      <c r="F261" s="87">
        <f t="shared" si="69"/>
        <v>0</v>
      </c>
      <c r="I261" s="93">
        <f t="shared" si="76"/>
        <v>0</v>
      </c>
      <c r="J261" s="95" t="e">
        <f t="shared" si="95"/>
        <v>#DIV/0!</v>
      </c>
      <c r="K261" s="95" t="e">
        <f t="shared" si="96"/>
        <v>#DIV/0!</v>
      </c>
      <c r="T261" s="96" t="e">
        <f t="shared" si="91"/>
        <v>#DIV/0!</v>
      </c>
      <c r="V261" s="96" t="e">
        <f t="shared" si="92"/>
        <v>#DIV/0!</v>
      </c>
      <c r="X261" s="96" t="e">
        <f t="shared" si="87"/>
        <v>#DIV/0!</v>
      </c>
      <c r="Z261" s="96" t="e">
        <f t="shared" si="88"/>
        <v>#DIV/0!</v>
      </c>
      <c r="AC261" s="105">
        <f t="shared" si="89"/>
        <v>0</v>
      </c>
      <c r="AF261" s="49">
        <f t="shared" si="98"/>
        <v>0</v>
      </c>
      <c r="AI261" s="109">
        <f t="shared" si="101"/>
        <v>0</v>
      </c>
      <c r="AL261" s="27">
        <f t="shared" si="100"/>
        <v>0</v>
      </c>
      <c r="AP261" s="106">
        <f t="shared" si="99"/>
        <v>0</v>
      </c>
      <c r="AS261" s="118" t="e">
        <f t="shared" si="93"/>
        <v>#DIV/0!</v>
      </c>
      <c r="AT261" s="118" t="e">
        <f t="shared" si="94"/>
        <v>#DIV/0!</v>
      </c>
      <c r="BB261" s="106">
        <f t="shared" si="72"/>
        <v>0</v>
      </c>
      <c r="BD261" s="50"/>
      <c r="BF261" s="106">
        <f t="shared" si="73"/>
        <v>0</v>
      </c>
      <c r="BG261" s="23"/>
      <c r="BH261" s="23"/>
      <c r="BL261" s="114">
        <f t="shared" si="97"/>
        <v>0</v>
      </c>
    </row>
    <row r="262" spans="1:64" x14ac:dyDescent="0.2">
      <c r="A262" s="13" t="str">
        <f t="shared" ref="A262:A293" si="102">B262&amp;C262</f>
        <v>2032Q1</v>
      </c>
      <c r="B262" s="11">
        <f t="shared" si="90"/>
        <v>2032</v>
      </c>
      <c r="C262" s="11" t="s">
        <v>1</v>
      </c>
      <c r="F262" s="87">
        <f t="shared" ref="F262:F293" si="103">D262+E262</f>
        <v>0</v>
      </c>
      <c r="I262" s="93">
        <f t="shared" si="76"/>
        <v>0</v>
      </c>
      <c r="J262" s="95" t="e">
        <f t="shared" si="95"/>
        <v>#DIV/0!</v>
      </c>
      <c r="K262" s="95" t="e">
        <f t="shared" si="96"/>
        <v>#DIV/0!</v>
      </c>
      <c r="T262" s="96" t="e">
        <f t="shared" si="91"/>
        <v>#DIV/0!</v>
      </c>
      <c r="V262" s="96" t="e">
        <f t="shared" si="92"/>
        <v>#DIV/0!</v>
      </c>
      <c r="X262" s="96" t="e">
        <f t="shared" ref="X262:X293" si="104">IF(W262="..","..",W262/$Q262*100)</f>
        <v>#DIV/0!</v>
      </c>
      <c r="Z262" s="96" t="e">
        <f t="shared" ref="Z262:Z293" si="105">IF(Y262="..","..",Y262/$Q262*100)</f>
        <v>#DIV/0!</v>
      </c>
      <c r="AC262" s="105">
        <f t="shared" si="89"/>
        <v>0</v>
      </c>
      <c r="AF262" s="49">
        <f t="shared" si="98"/>
        <v>0</v>
      </c>
      <c r="AI262" s="109">
        <f t="shared" si="101"/>
        <v>0</v>
      </c>
      <c r="AL262" s="27">
        <f t="shared" si="100"/>
        <v>0</v>
      </c>
      <c r="AP262" s="106">
        <f t="shared" si="99"/>
        <v>0</v>
      </c>
      <c r="AS262" s="118" t="e">
        <f t="shared" si="93"/>
        <v>#DIV/0!</v>
      </c>
      <c r="AT262" s="118" t="e">
        <f t="shared" si="94"/>
        <v>#DIV/0!</v>
      </c>
      <c r="BB262" s="106">
        <f t="shared" ref="BB262:BB293" si="106">IF(BA262=":",AY262,AY262+BA262)</f>
        <v>0</v>
      </c>
      <c r="BD262" s="50"/>
      <c r="BF262" s="106">
        <f t="shared" ref="BF262:BF293" si="107">IF(BE262="..","..",BD262+BE262)</f>
        <v>0</v>
      </c>
      <c r="BG262" s="23"/>
      <c r="BH262" s="23"/>
      <c r="BL262" s="114">
        <f t="shared" si="97"/>
        <v>0</v>
      </c>
    </row>
    <row r="263" spans="1:64" x14ac:dyDescent="0.2">
      <c r="A263" s="13" t="str">
        <f t="shared" si="102"/>
        <v>2032Q2</v>
      </c>
      <c r="B263" s="11">
        <f t="shared" si="90"/>
        <v>2032</v>
      </c>
      <c r="C263" s="11" t="s">
        <v>2</v>
      </c>
      <c r="F263" s="87">
        <f t="shared" si="103"/>
        <v>0</v>
      </c>
      <c r="I263" s="93">
        <f t="shared" si="76"/>
        <v>0</v>
      </c>
      <c r="J263" s="95" t="e">
        <f t="shared" si="95"/>
        <v>#DIV/0!</v>
      </c>
      <c r="K263" s="95" t="e">
        <f t="shared" si="96"/>
        <v>#DIV/0!</v>
      </c>
      <c r="T263" s="96" t="e">
        <f t="shared" si="91"/>
        <v>#DIV/0!</v>
      </c>
      <c r="V263" s="96" t="e">
        <f t="shared" si="92"/>
        <v>#DIV/0!</v>
      </c>
      <c r="X263" s="96" t="e">
        <f t="shared" si="104"/>
        <v>#DIV/0!</v>
      </c>
      <c r="Z263" s="96" t="e">
        <f t="shared" si="105"/>
        <v>#DIV/0!</v>
      </c>
      <c r="AC263" s="105">
        <f t="shared" si="89"/>
        <v>0</v>
      </c>
      <c r="AF263" s="49">
        <f t="shared" si="98"/>
        <v>0</v>
      </c>
      <c r="AI263" s="109">
        <f t="shared" si="101"/>
        <v>0</v>
      </c>
      <c r="AL263" s="27">
        <f t="shared" si="100"/>
        <v>0</v>
      </c>
      <c r="AP263" s="106">
        <f t="shared" si="99"/>
        <v>0</v>
      </c>
      <c r="AS263" s="118" t="e">
        <f t="shared" si="93"/>
        <v>#DIV/0!</v>
      </c>
      <c r="AT263" s="118" t="e">
        <f t="shared" si="94"/>
        <v>#DIV/0!</v>
      </c>
      <c r="BB263" s="106">
        <f t="shared" si="106"/>
        <v>0</v>
      </c>
      <c r="BD263" s="50"/>
      <c r="BF263" s="106">
        <f t="shared" si="107"/>
        <v>0</v>
      </c>
      <c r="BG263" s="23"/>
      <c r="BH263" s="23"/>
      <c r="BL263" s="114">
        <f t="shared" si="97"/>
        <v>0</v>
      </c>
    </row>
    <row r="264" spans="1:64" x14ac:dyDescent="0.2">
      <c r="A264" s="13" t="str">
        <f t="shared" si="102"/>
        <v>2032Q3</v>
      </c>
      <c r="B264" s="11">
        <f t="shared" si="90"/>
        <v>2032</v>
      </c>
      <c r="C264" s="11" t="s">
        <v>3</v>
      </c>
      <c r="F264" s="87">
        <f t="shared" si="103"/>
        <v>0</v>
      </c>
      <c r="I264" s="93">
        <f t="shared" si="76"/>
        <v>0</v>
      </c>
      <c r="J264" s="95" t="e">
        <f t="shared" si="95"/>
        <v>#DIV/0!</v>
      </c>
      <c r="K264" s="95" t="e">
        <f t="shared" si="96"/>
        <v>#DIV/0!</v>
      </c>
      <c r="T264" s="96" t="e">
        <f t="shared" si="91"/>
        <v>#DIV/0!</v>
      </c>
      <c r="V264" s="96" t="e">
        <f t="shared" si="92"/>
        <v>#DIV/0!</v>
      </c>
      <c r="X264" s="96" t="e">
        <f t="shared" si="104"/>
        <v>#DIV/0!</v>
      </c>
      <c r="Z264" s="96" t="e">
        <f t="shared" si="105"/>
        <v>#DIV/0!</v>
      </c>
      <c r="AC264" s="105">
        <f t="shared" si="89"/>
        <v>0</v>
      </c>
      <c r="AF264" s="49">
        <f t="shared" si="98"/>
        <v>0</v>
      </c>
      <c r="AI264" s="109">
        <f t="shared" si="101"/>
        <v>0</v>
      </c>
      <c r="AL264" s="27">
        <f t="shared" si="100"/>
        <v>0</v>
      </c>
      <c r="AP264" s="106">
        <f t="shared" si="99"/>
        <v>0</v>
      </c>
      <c r="AS264" s="118" t="e">
        <f t="shared" si="93"/>
        <v>#DIV/0!</v>
      </c>
      <c r="AT264" s="118" t="e">
        <f t="shared" si="94"/>
        <v>#DIV/0!</v>
      </c>
      <c r="BB264" s="106">
        <f t="shared" si="106"/>
        <v>0</v>
      </c>
      <c r="BD264" s="50"/>
      <c r="BF264" s="106">
        <f t="shared" si="107"/>
        <v>0</v>
      </c>
      <c r="BG264" s="23"/>
      <c r="BH264" s="23"/>
      <c r="BL264" s="114">
        <f t="shared" si="97"/>
        <v>0</v>
      </c>
    </row>
    <row r="265" spans="1:64" x14ac:dyDescent="0.2">
      <c r="A265" s="13" t="str">
        <f t="shared" si="102"/>
        <v>2032Q4</v>
      </c>
      <c r="B265" s="11">
        <f t="shared" si="90"/>
        <v>2032</v>
      </c>
      <c r="C265" s="11" t="s">
        <v>4</v>
      </c>
      <c r="F265" s="87">
        <f t="shared" si="103"/>
        <v>0</v>
      </c>
      <c r="I265" s="93">
        <f t="shared" si="76"/>
        <v>0</v>
      </c>
      <c r="J265" s="95" t="e">
        <f t="shared" si="95"/>
        <v>#DIV/0!</v>
      </c>
      <c r="K265" s="95" t="e">
        <f t="shared" si="96"/>
        <v>#DIV/0!</v>
      </c>
      <c r="T265" s="96" t="e">
        <f t="shared" si="91"/>
        <v>#DIV/0!</v>
      </c>
      <c r="V265" s="96" t="e">
        <f t="shared" si="92"/>
        <v>#DIV/0!</v>
      </c>
      <c r="X265" s="96" t="e">
        <f t="shared" si="104"/>
        <v>#DIV/0!</v>
      </c>
      <c r="Z265" s="96" t="e">
        <f t="shared" si="105"/>
        <v>#DIV/0!</v>
      </c>
      <c r="AC265" s="105">
        <f t="shared" si="89"/>
        <v>0</v>
      </c>
      <c r="AF265" s="49">
        <f t="shared" si="98"/>
        <v>0</v>
      </c>
      <c r="AI265" s="109">
        <f t="shared" si="101"/>
        <v>0</v>
      </c>
      <c r="AL265" s="27">
        <f t="shared" si="100"/>
        <v>0</v>
      </c>
      <c r="AP265" s="106">
        <f t="shared" si="99"/>
        <v>0</v>
      </c>
      <c r="AS265" s="118" t="e">
        <f t="shared" si="93"/>
        <v>#DIV/0!</v>
      </c>
      <c r="AT265" s="118" t="e">
        <f t="shared" si="94"/>
        <v>#DIV/0!</v>
      </c>
      <c r="BB265" s="106">
        <f t="shared" si="106"/>
        <v>0</v>
      </c>
      <c r="BD265" s="50"/>
      <c r="BF265" s="106">
        <f t="shared" si="107"/>
        <v>0</v>
      </c>
      <c r="BG265" s="23"/>
      <c r="BH265" s="23"/>
      <c r="BL265" s="114">
        <f t="shared" si="97"/>
        <v>0</v>
      </c>
    </row>
    <row r="266" spans="1:64" x14ac:dyDescent="0.2">
      <c r="A266" s="13" t="str">
        <f t="shared" si="102"/>
        <v>2033Q1</v>
      </c>
      <c r="B266" s="11">
        <f t="shared" si="90"/>
        <v>2033</v>
      </c>
      <c r="C266" s="11" t="s">
        <v>1</v>
      </c>
      <c r="F266" s="87">
        <f t="shared" si="103"/>
        <v>0</v>
      </c>
      <c r="I266" s="93">
        <f t="shared" si="76"/>
        <v>0</v>
      </c>
      <c r="J266" s="95" t="e">
        <f t="shared" si="95"/>
        <v>#DIV/0!</v>
      </c>
      <c r="K266" s="95" t="e">
        <f t="shared" si="96"/>
        <v>#DIV/0!</v>
      </c>
      <c r="T266" s="96" t="e">
        <f t="shared" si="91"/>
        <v>#DIV/0!</v>
      </c>
      <c r="V266" s="96" t="e">
        <f t="shared" si="92"/>
        <v>#DIV/0!</v>
      </c>
      <c r="X266" s="96" t="e">
        <f t="shared" si="104"/>
        <v>#DIV/0!</v>
      </c>
      <c r="Z266" s="96" t="e">
        <f t="shared" si="105"/>
        <v>#DIV/0!</v>
      </c>
      <c r="AC266" s="105">
        <f t="shared" si="89"/>
        <v>0</v>
      </c>
      <c r="AF266" s="49">
        <f t="shared" si="98"/>
        <v>0</v>
      </c>
      <c r="AI266" s="109">
        <f t="shared" si="101"/>
        <v>0</v>
      </c>
      <c r="AL266" s="27">
        <f t="shared" si="100"/>
        <v>0</v>
      </c>
      <c r="AP266" s="106">
        <f t="shared" si="99"/>
        <v>0</v>
      </c>
      <c r="AS266" s="118" t="e">
        <f t="shared" si="93"/>
        <v>#DIV/0!</v>
      </c>
      <c r="AT266" s="118" t="e">
        <f t="shared" si="94"/>
        <v>#DIV/0!</v>
      </c>
      <c r="BB266" s="106">
        <f t="shared" si="106"/>
        <v>0</v>
      </c>
      <c r="BD266" s="50"/>
      <c r="BF266" s="106">
        <f t="shared" si="107"/>
        <v>0</v>
      </c>
      <c r="BG266" s="23"/>
      <c r="BH266" s="23"/>
      <c r="BL266" s="114">
        <f t="shared" si="97"/>
        <v>0</v>
      </c>
    </row>
    <row r="267" spans="1:64" x14ac:dyDescent="0.2">
      <c r="A267" s="13" t="str">
        <f t="shared" si="102"/>
        <v>2033Q2</v>
      </c>
      <c r="B267" s="11">
        <f t="shared" si="90"/>
        <v>2033</v>
      </c>
      <c r="C267" s="11" t="s">
        <v>2</v>
      </c>
      <c r="F267" s="87">
        <f t="shared" si="103"/>
        <v>0</v>
      </c>
      <c r="I267" s="93">
        <f t="shared" si="76"/>
        <v>0</v>
      </c>
      <c r="J267" s="95" t="e">
        <f t="shared" si="95"/>
        <v>#DIV/0!</v>
      </c>
      <c r="K267" s="95" t="e">
        <f t="shared" si="96"/>
        <v>#DIV/0!</v>
      </c>
      <c r="T267" s="96" t="e">
        <f t="shared" si="91"/>
        <v>#DIV/0!</v>
      </c>
      <c r="V267" s="96" t="e">
        <f t="shared" si="92"/>
        <v>#DIV/0!</v>
      </c>
      <c r="X267" s="96" t="e">
        <f t="shared" si="104"/>
        <v>#DIV/0!</v>
      </c>
      <c r="Z267" s="96" t="e">
        <f t="shared" si="105"/>
        <v>#DIV/0!</v>
      </c>
      <c r="AC267" s="105">
        <f t="shared" ref="AC267:AC293" si="108">IF(AA267=":",Q267+AB267,Q267++R267+AA267+AB267)</f>
        <v>0</v>
      </c>
      <c r="AF267" s="49">
        <f t="shared" si="98"/>
        <v>0</v>
      </c>
      <c r="AI267" s="109">
        <f t="shared" si="101"/>
        <v>0</v>
      </c>
      <c r="AL267" s="27">
        <f t="shared" si="100"/>
        <v>0</v>
      </c>
      <c r="AP267" s="106">
        <f t="shared" si="99"/>
        <v>0</v>
      </c>
      <c r="AS267" s="118" t="e">
        <f t="shared" si="93"/>
        <v>#DIV/0!</v>
      </c>
      <c r="AT267" s="118" t="e">
        <f t="shared" si="94"/>
        <v>#DIV/0!</v>
      </c>
      <c r="BB267" s="106">
        <f t="shared" si="106"/>
        <v>0</v>
      </c>
      <c r="BD267" s="50"/>
      <c r="BF267" s="106">
        <f t="shared" si="107"/>
        <v>0</v>
      </c>
      <c r="BG267" s="23"/>
      <c r="BH267" s="23"/>
      <c r="BL267" s="114">
        <f t="shared" si="97"/>
        <v>0</v>
      </c>
    </row>
    <row r="268" spans="1:64" x14ac:dyDescent="0.2">
      <c r="A268" s="13" t="str">
        <f t="shared" si="102"/>
        <v>2033Q3</v>
      </c>
      <c r="B268" s="11">
        <f t="shared" si="90"/>
        <v>2033</v>
      </c>
      <c r="C268" s="11" t="s">
        <v>3</v>
      </c>
      <c r="F268" s="87">
        <f t="shared" si="103"/>
        <v>0</v>
      </c>
      <c r="I268" s="93">
        <f t="shared" si="76"/>
        <v>0</v>
      </c>
      <c r="J268" s="95" t="e">
        <f t="shared" si="95"/>
        <v>#DIV/0!</v>
      </c>
      <c r="K268" s="95" t="e">
        <f t="shared" si="96"/>
        <v>#DIV/0!</v>
      </c>
      <c r="T268" s="96" t="e">
        <f t="shared" si="91"/>
        <v>#DIV/0!</v>
      </c>
      <c r="V268" s="96" t="e">
        <f t="shared" si="92"/>
        <v>#DIV/0!</v>
      </c>
      <c r="X268" s="96" t="e">
        <f t="shared" si="104"/>
        <v>#DIV/0!</v>
      </c>
      <c r="Z268" s="96" t="e">
        <f t="shared" si="105"/>
        <v>#DIV/0!</v>
      </c>
      <c r="AC268" s="105">
        <f t="shared" si="108"/>
        <v>0</v>
      </c>
      <c r="AF268" s="49">
        <f t="shared" si="98"/>
        <v>0</v>
      </c>
      <c r="AI268" s="109">
        <f t="shared" si="101"/>
        <v>0</v>
      </c>
      <c r="AL268" s="27">
        <f t="shared" si="100"/>
        <v>0</v>
      </c>
      <c r="AP268" s="106">
        <f t="shared" si="99"/>
        <v>0</v>
      </c>
      <c r="AS268" s="118" t="e">
        <f t="shared" si="93"/>
        <v>#DIV/0!</v>
      </c>
      <c r="AT268" s="118" t="e">
        <f t="shared" si="94"/>
        <v>#DIV/0!</v>
      </c>
      <c r="BB268" s="106">
        <f t="shared" si="106"/>
        <v>0</v>
      </c>
      <c r="BD268" s="50"/>
      <c r="BF268" s="106">
        <f t="shared" si="107"/>
        <v>0</v>
      </c>
      <c r="BG268" s="23"/>
      <c r="BH268" s="23"/>
      <c r="BL268" s="114">
        <f t="shared" si="97"/>
        <v>0</v>
      </c>
    </row>
    <row r="269" spans="1:64" x14ac:dyDescent="0.2">
      <c r="A269" s="13" t="str">
        <f t="shared" si="102"/>
        <v>2033Q4</v>
      </c>
      <c r="B269" s="11">
        <f t="shared" si="90"/>
        <v>2033</v>
      </c>
      <c r="C269" s="11" t="s">
        <v>4</v>
      </c>
      <c r="F269" s="87">
        <f t="shared" si="103"/>
        <v>0</v>
      </c>
      <c r="I269" s="93">
        <f t="shared" si="76"/>
        <v>0</v>
      </c>
      <c r="J269" s="95" t="e">
        <f t="shared" si="95"/>
        <v>#DIV/0!</v>
      </c>
      <c r="K269" s="95" t="e">
        <f t="shared" si="96"/>
        <v>#DIV/0!</v>
      </c>
      <c r="T269" s="96" t="e">
        <f t="shared" si="91"/>
        <v>#DIV/0!</v>
      </c>
      <c r="V269" s="96" t="e">
        <f t="shared" si="92"/>
        <v>#DIV/0!</v>
      </c>
      <c r="X269" s="96" t="e">
        <f t="shared" si="104"/>
        <v>#DIV/0!</v>
      </c>
      <c r="Z269" s="96" t="e">
        <f t="shared" si="105"/>
        <v>#DIV/0!</v>
      </c>
      <c r="AC269" s="105">
        <f t="shared" si="108"/>
        <v>0</v>
      </c>
      <c r="AF269" s="49">
        <f t="shared" si="98"/>
        <v>0</v>
      </c>
      <c r="AI269" s="109">
        <f t="shared" si="101"/>
        <v>0</v>
      </c>
      <c r="AL269" s="27">
        <f t="shared" si="100"/>
        <v>0</v>
      </c>
      <c r="AP269" s="106">
        <f t="shared" si="99"/>
        <v>0</v>
      </c>
      <c r="AS269" s="118" t="e">
        <f t="shared" si="93"/>
        <v>#DIV/0!</v>
      </c>
      <c r="AT269" s="118" t="e">
        <f t="shared" si="94"/>
        <v>#DIV/0!</v>
      </c>
      <c r="BB269" s="106">
        <f t="shared" si="106"/>
        <v>0</v>
      </c>
      <c r="BD269" s="50"/>
      <c r="BF269" s="106">
        <f t="shared" si="107"/>
        <v>0</v>
      </c>
      <c r="BG269" s="23"/>
      <c r="BH269" s="23"/>
      <c r="BL269" s="114">
        <f t="shared" si="97"/>
        <v>0</v>
      </c>
    </row>
    <row r="270" spans="1:64" x14ac:dyDescent="0.2">
      <c r="A270" s="13" t="str">
        <f t="shared" si="102"/>
        <v>2034Q1</v>
      </c>
      <c r="B270" s="11">
        <f t="shared" ref="B270:B293" si="109">B266+1</f>
        <v>2034</v>
      </c>
      <c r="C270" s="11" t="s">
        <v>1</v>
      </c>
      <c r="F270" s="87">
        <f t="shared" si="103"/>
        <v>0</v>
      </c>
      <c r="I270" s="93">
        <f t="shared" ref="I270:I293" si="110">H270-G270</f>
        <v>0</v>
      </c>
      <c r="J270" s="95" t="e">
        <f t="shared" si="95"/>
        <v>#DIV/0!</v>
      </c>
      <c r="K270" s="95" t="e">
        <f t="shared" si="96"/>
        <v>#DIV/0!</v>
      </c>
      <c r="T270" s="96" t="e">
        <f t="shared" ref="T270:T293" si="111">S270/$Q270*100</f>
        <v>#DIV/0!</v>
      </c>
      <c r="V270" s="96" t="e">
        <f t="shared" ref="V270:V293" si="112">U270/$Q270*100</f>
        <v>#DIV/0!</v>
      </c>
      <c r="X270" s="96" t="e">
        <f t="shared" si="104"/>
        <v>#DIV/0!</v>
      </c>
      <c r="Z270" s="96" t="e">
        <f t="shared" si="105"/>
        <v>#DIV/0!</v>
      </c>
      <c r="AC270" s="105">
        <f t="shared" si="108"/>
        <v>0</v>
      </c>
      <c r="AF270" s="49">
        <f t="shared" si="98"/>
        <v>0</v>
      </c>
      <c r="AI270" s="109">
        <f t="shared" si="101"/>
        <v>0</v>
      </c>
      <c r="AL270" s="27">
        <f t="shared" si="100"/>
        <v>0</v>
      </c>
      <c r="AP270" s="106">
        <f t="shared" si="99"/>
        <v>0</v>
      </c>
      <c r="AS270" s="118" t="e">
        <f t="shared" ref="AS270:AS293" si="113">4*(SUM($AP267:$AP270)/SUM(AQ267:AQ270))*100</f>
        <v>#DIV/0!</v>
      </c>
      <c r="AT270" s="118" t="e">
        <f t="shared" ref="AT270:AT293" si="114">4*(SUM($AP267:$AP270)/SUM(AR267:AR270))*100</f>
        <v>#DIV/0!</v>
      </c>
      <c r="BB270" s="106">
        <f t="shared" si="106"/>
        <v>0</v>
      </c>
      <c r="BD270" s="50"/>
      <c r="BF270" s="106">
        <f t="shared" si="107"/>
        <v>0</v>
      </c>
      <c r="BG270" s="23"/>
      <c r="BH270" s="23"/>
      <c r="BL270" s="114">
        <f t="shared" si="97"/>
        <v>0</v>
      </c>
    </row>
    <row r="271" spans="1:64" x14ac:dyDescent="0.2">
      <c r="A271" s="13" t="str">
        <f t="shared" si="102"/>
        <v>2034Q2</v>
      </c>
      <c r="B271" s="11">
        <f t="shared" si="109"/>
        <v>2034</v>
      </c>
      <c r="C271" s="11" t="s">
        <v>2</v>
      </c>
      <c r="F271" s="87">
        <f t="shared" si="103"/>
        <v>0</v>
      </c>
      <c r="I271" s="93">
        <f t="shared" si="110"/>
        <v>0</v>
      </c>
      <c r="J271" s="95" t="e">
        <f t="shared" si="95"/>
        <v>#DIV/0!</v>
      </c>
      <c r="K271" s="95" t="e">
        <f t="shared" si="96"/>
        <v>#DIV/0!</v>
      </c>
      <c r="T271" s="96" t="e">
        <f t="shared" si="111"/>
        <v>#DIV/0!</v>
      </c>
      <c r="V271" s="96" t="e">
        <f t="shared" si="112"/>
        <v>#DIV/0!</v>
      </c>
      <c r="X271" s="96" t="e">
        <f t="shared" si="104"/>
        <v>#DIV/0!</v>
      </c>
      <c r="Z271" s="96" t="e">
        <f t="shared" si="105"/>
        <v>#DIV/0!</v>
      </c>
      <c r="AC271" s="105">
        <f t="shared" si="108"/>
        <v>0</v>
      </c>
      <c r="AF271" s="49">
        <f t="shared" si="98"/>
        <v>0</v>
      </c>
      <c r="AI271" s="109">
        <f t="shared" si="101"/>
        <v>0</v>
      </c>
      <c r="AL271" s="27">
        <f t="shared" si="100"/>
        <v>0</v>
      </c>
      <c r="AP271" s="106">
        <f t="shared" si="99"/>
        <v>0</v>
      </c>
      <c r="AS271" s="118" t="e">
        <f t="shared" si="113"/>
        <v>#DIV/0!</v>
      </c>
      <c r="AT271" s="118" t="e">
        <f t="shared" si="114"/>
        <v>#DIV/0!</v>
      </c>
      <c r="BB271" s="106">
        <f t="shared" si="106"/>
        <v>0</v>
      </c>
      <c r="BD271" s="50"/>
      <c r="BF271" s="106">
        <f t="shared" si="107"/>
        <v>0</v>
      </c>
      <c r="BG271" s="23"/>
      <c r="BH271" s="23"/>
      <c r="BL271" s="114">
        <f t="shared" si="97"/>
        <v>0</v>
      </c>
    </row>
    <row r="272" spans="1:64" x14ac:dyDescent="0.2">
      <c r="A272" s="13" t="str">
        <f t="shared" si="102"/>
        <v>2034Q3</v>
      </c>
      <c r="B272" s="11">
        <f t="shared" si="109"/>
        <v>2034</v>
      </c>
      <c r="C272" s="11" t="s">
        <v>3</v>
      </c>
      <c r="F272" s="87">
        <f t="shared" si="103"/>
        <v>0</v>
      </c>
      <c r="I272" s="93">
        <f t="shared" si="110"/>
        <v>0</v>
      </c>
      <c r="J272" s="95" t="e">
        <f t="shared" si="95"/>
        <v>#DIV/0!</v>
      </c>
      <c r="K272" s="95" t="e">
        <f t="shared" si="96"/>
        <v>#DIV/0!</v>
      </c>
      <c r="T272" s="96" t="e">
        <f t="shared" si="111"/>
        <v>#DIV/0!</v>
      </c>
      <c r="V272" s="96" t="e">
        <f t="shared" si="112"/>
        <v>#DIV/0!</v>
      </c>
      <c r="X272" s="96" t="e">
        <f t="shared" si="104"/>
        <v>#DIV/0!</v>
      </c>
      <c r="Z272" s="96" t="e">
        <f t="shared" si="105"/>
        <v>#DIV/0!</v>
      </c>
      <c r="AC272" s="105">
        <f t="shared" si="108"/>
        <v>0</v>
      </c>
      <c r="AF272" s="49">
        <f t="shared" si="98"/>
        <v>0</v>
      </c>
      <c r="AI272" s="109">
        <f t="shared" si="101"/>
        <v>0</v>
      </c>
      <c r="AL272" s="27">
        <f t="shared" si="100"/>
        <v>0</v>
      </c>
      <c r="AP272" s="106">
        <f t="shared" si="99"/>
        <v>0</v>
      </c>
      <c r="AS272" s="118" t="e">
        <f t="shared" si="113"/>
        <v>#DIV/0!</v>
      </c>
      <c r="AT272" s="118" t="e">
        <f t="shared" si="114"/>
        <v>#DIV/0!</v>
      </c>
      <c r="BB272" s="106">
        <f t="shared" si="106"/>
        <v>0</v>
      </c>
      <c r="BD272" s="50"/>
      <c r="BF272" s="106">
        <f t="shared" si="107"/>
        <v>0</v>
      </c>
      <c r="BG272" s="23"/>
      <c r="BH272" s="23"/>
      <c r="BL272" s="114">
        <f t="shared" si="97"/>
        <v>0</v>
      </c>
    </row>
    <row r="273" spans="1:64" x14ac:dyDescent="0.2">
      <c r="A273" s="13" t="str">
        <f t="shared" si="102"/>
        <v>2034Q4</v>
      </c>
      <c r="B273" s="11">
        <f t="shared" si="109"/>
        <v>2034</v>
      </c>
      <c r="C273" s="11" t="s">
        <v>4</v>
      </c>
      <c r="F273" s="87">
        <f t="shared" si="103"/>
        <v>0</v>
      </c>
      <c r="I273" s="93">
        <f t="shared" si="110"/>
        <v>0</v>
      </c>
      <c r="J273" s="95" t="e">
        <f t="shared" si="95"/>
        <v>#DIV/0!</v>
      </c>
      <c r="K273" s="95" t="e">
        <f t="shared" si="96"/>
        <v>#DIV/0!</v>
      </c>
      <c r="T273" s="96" t="e">
        <f t="shared" si="111"/>
        <v>#DIV/0!</v>
      </c>
      <c r="V273" s="96" t="e">
        <f t="shared" si="112"/>
        <v>#DIV/0!</v>
      </c>
      <c r="X273" s="96" t="e">
        <f t="shared" si="104"/>
        <v>#DIV/0!</v>
      </c>
      <c r="Z273" s="96" t="e">
        <f t="shared" si="105"/>
        <v>#DIV/0!</v>
      </c>
      <c r="AC273" s="105">
        <f t="shared" si="108"/>
        <v>0</v>
      </c>
      <c r="AF273" s="49">
        <f t="shared" si="98"/>
        <v>0</v>
      </c>
      <c r="AI273" s="109">
        <f t="shared" si="101"/>
        <v>0</v>
      </c>
      <c r="AL273" s="27">
        <f t="shared" si="100"/>
        <v>0</v>
      </c>
      <c r="AP273" s="106">
        <f t="shared" si="99"/>
        <v>0</v>
      </c>
      <c r="AS273" s="118" t="e">
        <f t="shared" si="113"/>
        <v>#DIV/0!</v>
      </c>
      <c r="AT273" s="118" t="e">
        <f t="shared" si="114"/>
        <v>#DIV/0!</v>
      </c>
      <c r="BB273" s="106">
        <f t="shared" si="106"/>
        <v>0</v>
      </c>
      <c r="BD273" s="50"/>
      <c r="BF273" s="106">
        <f t="shared" si="107"/>
        <v>0</v>
      </c>
      <c r="BG273" s="23"/>
      <c r="BH273" s="23"/>
      <c r="BL273" s="114">
        <f t="shared" si="97"/>
        <v>0</v>
      </c>
    </row>
    <row r="274" spans="1:64" x14ac:dyDescent="0.2">
      <c r="A274" s="13" t="str">
        <f t="shared" si="102"/>
        <v>2035Q1</v>
      </c>
      <c r="B274" s="11">
        <f t="shared" si="109"/>
        <v>2035</v>
      </c>
      <c r="C274" s="11" t="s">
        <v>1</v>
      </c>
      <c r="F274" s="87">
        <f t="shared" si="103"/>
        <v>0</v>
      </c>
      <c r="I274" s="93">
        <f t="shared" si="110"/>
        <v>0</v>
      </c>
      <c r="J274" s="95" t="e">
        <f t="shared" si="95"/>
        <v>#DIV/0!</v>
      </c>
      <c r="K274" s="95" t="e">
        <f t="shared" si="96"/>
        <v>#DIV/0!</v>
      </c>
      <c r="T274" s="96" t="e">
        <f t="shared" si="111"/>
        <v>#DIV/0!</v>
      </c>
      <c r="V274" s="96" t="e">
        <f t="shared" si="112"/>
        <v>#DIV/0!</v>
      </c>
      <c r="X274" s="96" t="e">
        <f t="shared" si="104"/>
        <v>#DIV/0!</v>
      </c>
      <c r="Z274" s="96" t="e">
        <f t="shared" si="105"/>
        <v>#DIV/0!</v>
      </c>
      <c r="AC274" s="105">
        <f t="shared" si="108"/>
        <v>0</v>
      </c>
      <c r="AF274" s="49">
        <f t="shared" si="98"/>
        <v>0</v>
      </c>
      <c r="AI274" s="109">
        <f t="shared" si="101"/>
        <v>0</v>
      </c>
      <c r="AL274" s="27">
        <f t="shared" si="100"/>
        <v>0</v>
      </c>
      <c r="AP274" s="106">
        <f t="shared" si="99"/>
        <v>0</v>
      </c>
      <c r="AS274" s="118" t="e">
        <f t="shared" si="113"/>
        <v>#DIV/0!</v>
      </c>
      <c r="AT274" s="118" t="e">
        <f t="shared" si="114"/>
        <v>#DIV/0!</v>
      </c>
      <c r="BB274" s="106">
        <f t="shared" si="106"/>
        <v>0</v>
      </c>
      <c r="BD274" s="50"/>
      <c r="BF274" s="106">
        <f t="shared" si="107"/>
        <v>0</v>
      </c>
      <c r="BG274" s="23"/>
      <c r="BH274" s="23"/>
      <c r="BL274" s="114">
        <f t="shared" si="97"/>
        <v>0</v>
      </c>
    </row>
    <row r="275" spans="1:64" x14ac:dyDescent="0.2">
      <c r="A275" s="13" t="str">
        <f t="shared" si="102"/>
        <v>2035Q2</v>
      </c>
      <c r="B275" s="11">
        <f t="shared" si="109"/>
        <v>2035</v>
      </c>
      <c r="C275" s="11" t="s">
        <v>2</v>
      </c>
      <c r="F275" s="87">
        <f t="shared" si="103"/>
        <v>0</v>
      </c>
      <c r="I275" s="93">
        <f t="shared" si="110"/>
        <v>0</v>
      </c>
      <c r="J275" s="95" t="e">
        <f t="shared" si="95"/>
        <v>#DIV/0!</v>
      </c>
      <c r="K275" s="95" t="e">
        <f t="shared" si="96"/>
        <v>#DIV/0!</v>
      </c>
      <c r="T275" s="96" t="e">
        <f t="shared" si="111"/>
        <v>#DIV/0!</v>
      </c>
      <c r="V275" s="96" t="e">
        <f t="shared" si="112"/>
        <v>#DIV/0!</v>
      </c>
      <c r="X275" s="96" t="e">
        <f t="shared" si="104"/>
        <v>#DIV/0!</v>
      </c>
      <c r="Z275" s="96" t="e">
        <f t="shared" si="105"/>
        <v>#DIV/0!</v>
      </c>
      <c r="AC275" s="105">
        <f t="shared" si="108"/>
        <v>0</v>
      </c>
      <c r="AF275" s="49">
        <f t="shared" si="98"/>
        <v>0</v>
      </c>
      <c r="AI275" s="109">
        <f t="shared" si="101"/>
        <v>0</v>
      </c>
      <c r="AL275" s="27">
        <f t="shared" si="100"/>
        <v>0</v>
      </c>
      <c r="AP275" s="106">
        <f t="shared" si="99"/>
        <v>0</v>
      </c>
      <c r="AS275" s="118" t="e">
        <f t="shared" si="113"/>
        <v>#DIV/0!</v>
      </c>
      <c r="AT275" s="118" t="e">
        <f t="shared" si="114"/>
        <v>#DIV/0!</v>
      </c>
      <c r="BB275" s="106">
        <f t="shared" si="106"/>
        <v>0</v>
      </c>
      <c r="BD275" s="50"/>
      <c r="BF275" s="106">
        <f t="shared" si="107"/>
        <v>0</v>
      </c>
      <c r="BG275" s="23"/>
      <c r="BH275" s="23"/>
      <c r="BL275" s="114">
        <f t="shared" si="97"/>
        <v>0</v>
      </c>
    </row>
    <row r="276" spans="1:64" x14ac:dyDescent="0.2">
      <c r="A276" s="13" t="str">
        <f t="shared" si="102"/>
        <v>2035Q3</v>
      </c>
      <c r="B276" s="11">
        <f t="shared" si="109"/>
        <v>2035</v>
      </c>
      <c r="C276" s="11" t="s">
        <v>3</v>
      </c>
      <c r="F276" s="87">
        <f t="shared" si="103"/>
        <v>0</v>
      </c>
      <c r="I276" s="93">
        <f t="shared" si="110"/>
        <v>0</v>
      </c>
      <c r="J276" s="95" t="e">
        <f t="shared" ref="J276:J293" si="115">SUM(F273:F276,O273:O276)/AVERAGE(G273:G276)*100</f>
        <v>#DIV/0!</v>
      </c>
      <c r="K276" s="95" t="e">
        <f t="shared" ref="K276:K293" si="116">SUM(F273:F276,O273:O276)/AVERAGE(H273:H276)*100</f>
        <v>#DIV/0!</v>
      </c>
      <c r="T276" s="96" t="e">
        <f t="shared" si="111"/>
        <v>#DIV/0!</v>
      </c>
      <c r="V276" s="96" t="e">
        <f t="shared" si="112"/>
        <v>#DIV/0!</v>
      </c>
      <c r="X276" s="96" t="e">
        <f t="shared" si="104"/>
        <v>#DIV/0!</v>
      </c>
      <c r="Z276" s="96" t="e">
        <f t="shared" si="105"/>
        <v>#DIV/0!</v>
      </c>
      <c r="AC276" s="105">
        <f t="shared" si="108"/>
        <v>0</v>
      </c>
      <c r="AF276" s="49">
        <f t="shared" si="98"/>
        <v>0</v>
      </c>
      <c r="AI276" s="109">
        <f t="shared" si="101"/>
        <v>0</v>
      </c>
      <c r="AL276" s="27">
        <f t="shared" si="100"/>
        <v>0</v>
      </c>
      <c r="AP276" s="106">
        <f t="shared" si="99"/>
        <v>0</v>
      </c>
      <c r="AS276" s="118" t="e">
        <f t="shared" si="113"/>
        <v>#DIV/0!</v>
      </c>
      <c r="AT276" s="118" t="e">
        <f t="shared" si="114"/>
        <v>#DIV/0!</v>
      </c>
      <c r="BB276" s="106">
        <f t="shared" si="106"/>
        <v>0</v>
      </c>
      <c r="BD276" s="50"/>
      <c r="BF276" s="106">
        <f t="shared" si="107"/>
        <v>0</v>
      </c>
      <c r="BG276" s="23"/>
      <c r="BH276" s="23"/>
      <c r="BL276" s="114">
        <f t="shared" ref="BL276:BL293" si="117">BI276+BJ276+BK276</f>
        <v>0</v>
      </c>
    </row>
    <row r="277" spans="1:64" x14ac:dyDescent="0.2">
      <c r="A277" s="13" t="str">
        <f t="shared" si="102"/>
        <v>2035Q4</v>
      </c>
      <c r="B277" s="11">
        <f t="shared" si="109"/>
        <v>2035</v>
      </c>
      <c r="C277" s="11" t="s">
        <v>4</v>
      </c>
      <c r="F277" s="87">
        <f t="shared" si="103"/>
        <v>0</v>
      </c>
      <c r="I277" s="93">
        <f t="shared" si="110"/>
        <v>0</v>
      </c>
      <c r="J277" s="95" t="e">
        <f t="shared" si="115"/>
        <v>#DIV/0!</v>
      </c>
      <c r="K277" s="95" t="e">
        <f t="shared" si="116"/>
        <v>#DIV/0!</v>
      </c>
      <c r="T277" s="96" t="e">
        <f t="shared" si="111"/>
        <v>#DIV/0!</v>
      </c>
      <c r="V277" s="96" t="e">
        <f t="shared" si="112"/>
        <v>#DIV/0!</v>
      </c>
      <c r="X277" s="96" t="e">
        <f t="shared" si="104"/>
        <v>#DIV/0!</v>
      </c>
      <c r="Z277" s="96" t="e">
        <f t="shared" si="105"/>
        <v>#DIV/0!</v>
      </c>
      <c r="AC277" s="105">
        <f t="shared" si="108"/>
        <v>0</v>
      </c>
      <c r="AF277" s="49">
        <f t="shared" si="98"/>
        <v>0</v>
      </c>
      <c r="AI277" s="109">
        <f t="shared" si="101"/>
        <v>0</v>
      </c>
      <c r="AL277" s="27">
        <f t="shared" si="100"/>
        <v>0</v>
      </c>
      <c r="AP277" s="106">
        <f t="shared" si="99"/>
        <v>0</v>
      </c>
      <c r="AS277" s="118" t="e">
        <f t="shared" si="113"/>
        <v>#DIV/0!</v>
      </c>
      <c r="AT277" s="118" t="e">
        <f t="shared" si="114"/>
        <v>#DIV/0!</v>
      </c>
      <c r="BB277" s="106">
        <f t="shared" si="106"/>
        <v>0</v>
      </c>
      <c r="BD277" s="50"/>
      <c r="BF277" s="106">
        <f t="shared" si="107"/>
        <v>0</v>
      </c>
      <c r="BG277" s="23"/>
      <c r="BH277" s="23"/>
      <c r="BL277" s="114">
        <f t="shared" si="117"/>
        <v>0</v>
      </c>
    </row>
    <row r="278" spans="1:64" x14ac:dyDescent="0.2">
      <c r="A278" s="13" t="str">
        <f t="shared" si="102"/>
        <v>2036Q1</v>
      </c>
      <c r="B278" s="11">
        <f t="shared" si="109"/>
        <v>2036</v>
      </c>
      <c r="C278" s="11" t="s">
        <v>1</v>
      </c>
      <c r="F278" s="87">
        <f t="shared" si="103"/>
        <v>0</v>
      </c>
      <c r="I278" s="93">
        <f t="shared" si="110"/>
        <v>0</v>
      </c>
      <c r="J278" s="95" t="e">
        <f t="shared" si="115"/>
        <v>#DIV/0!</v>
      </c>
      <c r="K278" s="95" t="e">
        <f t="shared" si="116"/>
        <v>#DIV/0!</v>
      </c>
      <c r="T278" s="96" t="e">
        <f t="shared" si="111"/>
        <v>#DIV/0!</v>
      </c>
      <c r="V278" s="96" t="e">
        <f t="shared" si="112"/>
        <v>#DIV/0!</v>
      </c>
      <c r="X278" s="96" t="e">
        <f t="shared" si="104"/>
        <v>#DIV/0!</v>
      </c>
      <c r="Z278" s="96" t="e">
        <f t="shared" si="105"/>
        <v>#DIV/0!</v>
      </c>
      <c r="AC278" s="105">
        <f t="shared" si="108"/>
        <v>0</v>
      </c>
      <c r="AF278" s="49">
        <f t="shared" ref="AF278:AF293" si="118">AD278+AE278</f>
        <v>0</v>
      </c>
      <c r="AI278" s="109">
        <f t="shared" si="101"/>
        <v>0</v>
      </c>
      <c r="AL278" s="27">
        <f t="shared" si="100"/>
        <v>0</v>
      </c>
      <c r="AP278" s="106">
        <f t="shared" si="99"/>
        <v>0</v>
      </c>
      <c r="AS278" s="118" t="e">
        <f t="shared" si="113"/>
        <v>#DIV/0!</v>
      </c>
      <c r="AT278" s="118" t="e">
        <f t="shared" si="114"/>
        <v>#DIV/0!</v>
      </c>
      <c r="BB278" s="106">
        <f t="shared" si="106"/>
        <v>0</v>
      </c>
      <c r="BD278" s="50"/>
      <c r="BF278" s="106">
        <f t="shared" si="107"/>
        <v>0</v>
      </c>
      <c r="BG278" s="23"/>
      <c r="BH278" s="23"/>
      <c r="BL278" s="114">
        <f t="shared" si="117"/>
        <v>0</v>
      </c>
    </row>
    <row r="279" spans="1:64" x14ac:dyDescent="0.2">
      <c r="A279" s="13" t="str">
        <f t="shared" si="102"/>
        <v>2036Q2</v>
      </c>
      <c r="B279" s="11">
        <f t="shared" si="109"/>
        <v>2036</v>
      </c>
      <c r="C279" s="11" t="s">
        <v>2</v>
      </c>
      <c r="F279" s="87">
        <f t="shared" si="103"/>
        <v>0</v>
      </c>
      <c r="I279" s="93">
        <f t="shared" si="110"/>
        <v>0</v>
      </c>
      <c r="J279" s="95" t="e">
        <f t="shared" si="115"/>
        <v>#DIV/0!</v>
      </c>
      <c r="K279" s="95" t="e">
        <f t="shared" si="116"/>
        <v>#DIV/0!</v>
      </c>
      <c r="T279" s="96" t="e">
        <f t="shared" si="111"/>
        <v>#DIV/0!</v>
      </c>
      <c r="V279" s="96" t="e">
        <f t="shared" si="112"/>
        <v>#DIV/0!</v>
      </c>
      <c r="X279" s="96" t="e">
        <f t="shared" si="104"/>
        <v>#DIV/0!</v>
      </c>
      <c r="Z279" s="96" t="e">
        <f t="shared" si="105"/>
        <v>#DIV/0!</v>
      </c>
      <c r="AC279" s="105">
        <f t="shared" si="108"/>
        <v>0</v>
      </c>
      <c r="AF279" s="49">
        <f t="shared" si="118"/>
        <v>0</v>
      </c>
      <c r="AI279" s="109">
        <f t="shared" si="101"/>
        <v>0</v>
      </c>
      <c r="AL279" s="27">
        <f t="shared" si="100"/>
        <v>0</v>
      </c>
      <c r="AP279" s="106">
        <f t="shared" si="99"/>
        <v>0</v>
      </c>
      <c r="AS279" s="118" t="e">
        <f t="shared" si="113"/>
        <v>#DIV/0!</v>
      </c>
      <c r="AT279" s="118" t="e">
        <f t="shared" si="114"/>
        <v>#DIV/0!</v>
      </c>
      <c r="BB279" s="106">
        <f t="shared" si="106"/>
        <v>0</v>
      </c>
      <c r="BD279" s="50"/>
      <c r="BF279" s="106">
        <f t="shared" si="107"/>
        <v>0</v>
      </c>
      <c r="BG279" s="23"/>
      <c r="BH279" s="23"/>
      <c r="BL279" s="114">
        <f t="shared" si="117"/>
        <v>0</v>
      </c>
    </row>
    <row r="280" spans="1:64" x14ac:dyDescent="0.2">
      <c r="A280" s="13" t="str">
        <f t="shared" si="102"/>
        <v>2036Q3</v>
      </c>
      <c r="B280" s="11">
        <f t="shared" si="109"/>
        <v>2036</v>
      </c>
      <c r="C280" s="11" t="s">
        <v>3</v>
      </c>
      <c r="F280" s="87">
        <f t="shared" si="103"/>
        <v>0</v>
      </c>
      <c r="I280" s="93">
        <f t="shared" si="110"/>
        <v>0</v>
      </c>
      <c r="J280" s="95" t="e">
        <f t="shared" si="115"/>
        <v>#DIV/0!</v>
      </c>
      <c r="K280" s="95" t="e">
        <f t="shared" si="116"/>
        <v>#DIV/0!</v>
      </c>
      <c r="T280" s="96" t="e">
        <f t="shared" si="111"/>
        <v>#DIV/0!</v>
      </c>
      <c r="V280" s="96" t="e">
        <f t="shared" si="112"/>
        <v>#DIV/0!</v>
      </c>
      <c r="X280" s="96" t="e">
        <f t="shared" si="104"/>
        <v>#DIV/0!</v>
      </c>
      <c r="Z280" s="96" t="e">
        <f t="shared" si="105"/>
        <v>#DIV/0!</v>
      </c>
      <c r="AC280" s="105">
        <f t="shared" si="108"/>
        <v>0</v>
      </c>
      <c r="AF280" s="49">
        <f t="shared" si="118"/>
        <v>0</v>
      </c>
      <c r="AI280" s="109">
        <f t="shared" si="101"/>
        <v>0</v>
      </c>
      <c r="AL280" s="27">
        <f t="shared" si="100"/>
        <v>0</v>
      </c>
      <c r="AP280" s="106">
        <f t="shared" si="99"/>
        <v>0</v>
      </c>
      <c r="AS280" s="118" t="e">
        <f t="shared" si="113"/>
        <v>#DIV/0!</v>
      </c>
      <c r="AT280" s="118" t="e">
        <f t="shared" si="114"/>
        <v>#DIV/0!</v>
      </c>
      <c r="BB280" s="106">
        <f t="shared" si="106"/>
        <v>0</v>
      </c>
      <c r="BD280" s="50"/>
      <c r="BF280" s="106">
        <f t="shared" si="107"/>
        <v>0</v>
      </c>
      <c r="BG280" s="23"/>
      <c r="BH280" s="23"/>
      <c r="BL280" s="114">
        <f t="shared" si="117"/>
        <v>0</v>
      </c>
    </row>
    <row r="281" spans="1:64" x14ac:dyDescent="0.2">
      <c r="A281" s="13" t="str">
        <f t="shared" si="102"/>
        <v>2036Q4</v>
      </c>
      <c r="B281" s="11">
        <f t="shared" si="109"/>
        <v>2036</v>
      </c>
      <c r="C281" s="11" t="s">
        <v>4</v>
      </c>
      <c r="F281" s="87">
        <f t="shared" si="103"/>
        <v>0</v>
      </c>
      <c r="I281" s="93">
        <f t="shared" si="110"/>
        <v>0</v>
      </c>
      <c r="J281" s="95" t="e">
        <f t="shared" si="115"/>
        <v>#DIV/0!</v>
      </c>
      <c r="K281" s="95" t="e">
        <f t="shared" si="116"/>
        <v>#DIV/0!</v>
      </c>
      <c r="T281" s="96" t="e">
        <f t="shared" si="111"/>
        <v>#DIV/0!</v>
      </c>
      <c r="V281" s="96" t="e">
        <f t="shared" si="112"/>
        <v>#DIV/0!</v>
      </c>
      <c r="X281" s="96" t="e">
        <f t="shared" si="104"/>
        <v>#DIV/0!</v>
      </c>
      <c r="Z281" s="96" t="e">
        <f t="shared" si="105"/>
        <v>#DIV/0!</v>
      </c>
      <c r="AC281" s="105">
        <f t="shared" si="108"/>
        <v>0</v>
      </c>
      <c r="AF281" s="49">
        <f t="shared" si="118"/>
        <v>0</v>
      </c>
      <c r="AI281" s="109">
        <f t="shared" si="101"/>
        <v>0</v>
      </c>
      <c r="AL281" s="27">
        <f t="shared" si="100"/>
        <v>0</v>
      </c>
      <c r="AP281" s="106">
        <f t="shared" si="99"/>
        <v>0</v>
      </c>
      <c r="AS281" s="118" t="e">
        <f t="shared" si="113"/>
        <v>#DIV/0!</v>
      </c>
      <c r="AT281" s="118" t="e">
        <f t="shared" si="114"/>
        <v>#DIV/0!</v>
      </c>
      <c r="BB281" s="106">
        <f t="shared" si="106"/>
        <v>0</v>
      </c>
      <c r="BD281" s="50"/>
      <c r="BF281" s="106">
        <f t="shared" si="107"/>
        <v>0</v>
      </c>
      <c r="BG281" s="23"/>
      <c r="BH281" s="23"/>
      <c r="BL281" s="114">
        <f t="shared" si="117"/>
        <v>0</v>
      </c>
    </row>
    <row r="282" spans="1:64" x14ac:dyDescent="0.2">
      <c r="A282" s="13" t="str">
        <f t="shared" si="102"/>
        <v>2037Q1</v>
      </c>
      <c r="B282" s="11">
        <f t="shared" si="109"/>
        <v>2037</v>
      </c>
      <c r="C282" s="11" t="s">
        <v>1</v>
      </c>
      <c r="F282" s="87">
        <f t="shared" si="103"/>
        <v>0</v>
      </c>
      <c r="I282" s="93">
        <f t="shared" si="110"/>
        <v>0</v>
      </c>
      <c r="J282" s="95" t="e">
        <f t="shared" si="115"/>
        <v>#DIV/0!</v>
      </c>
      <c r="K282" s="95" t="e">
        <f t="shared" si="116"/>
        <v>#DIV/0!</v>
      </c>
      <c r="T282" s="96" t="e">
        <f t="shared" si="111"/>
        <v>#DIV/0!</v>
      </c>
      <c r="V282" s="96" t="e">
        <f t="shared" si="112"/>
        <v>#DIV/0!</v>
      </c>
      <c r="X282" s="96" t="e">
        <f t="shared" si="104"/>
        <v>#DIV/0!</v>
      </c>
      <c r="Z282" s="96" t="e">
        <f t="shared" si="105"/>
        <v>#DIV/0!</v>
      </c>
      <c r="AC282" s="105">
        <f t="shared" si="108"/>
        <v>0</v>
      </c>
      <c r="AF282" s="49">
        <f t="shared" si="118"/>
        <v>0</v>
      </c>
      <c r="AI282" s="109">
        <f t="shared" si="101"/>
        <v>0</v>
      </c>
      <c r="AL282" s="27">
        <f t="shared" si="100"/>
        <v>0</v>
      </c>
      <c r="AP282" s="106">
        <f t="shared" si="99"/>
        <v>0</v>
      </c>
      <c r="AS282" s="118" t="e">
        <f t="shared" si="113"/>
        <v>#DIV/0!</v>
      </c>
      <c r="AT282" s="118" t="e">
        <f t="shared" si="114"/>
        <v>#DIV/0!</v>
      </c>
      <c r="BB282" s="106">
        <f t="shared" si="106"/>
        <v>0</v>
      </c>
      <c r="BD282" s="50"/>
      <c r="BF282" s="106">
        <f t="shared" si="107"/>
        <v>0</v>
      </c>
      <c r="BG282" s="23"/>
      <c r="BH282" s="23"/>
      <c r="BL282" s="114">
        <f t="shared" si="117"/>
        <v>0</v>
      </c>
    </row>
    <row r="283" spans="1:64" x14ac:dyDescent="0.2">
      <c r="A283" s="13" t="str">
        <f t="shared" si="102"/>
        <v>2037Q2</v>
      </c>
      <c r="B283" s="11">
        <f t="shared" si="109"/>
        <v>2037</v>
      </c>
      <c r="C283" s="11" t="s">
        <v>2</v>
      </c>
      <c r="F283" s="87">
        <f t="shared" si="103"/>
        <v>0</v>
      </c>
      <c r="I283" s="93">
        <f t="shared" si="110"/>
        <v>0</v>
      </c>
      <c r="J283" s="95" t="e">
        <f t="shared" si="115"/>
        <v>#DIV/0!</v>
      </c>
      <c r="K283" s="95" t="e">
        <f t="shared" si="116"/>
        <v>#DIV/0!</v>
      </c>
      <c r="T283" s="96" t="e">
        <f t="shared" si="111"/>
        <v>#DIV/0!</v>
      </c>
      <c r="V283" s="96" t="e">
        <f t="shared" si="112"/>
        <v>#DIV/0!</v>
      </c>
      <c r="X283" s="96" t="e">
        <f t="shared" si="104"/>
        <v>#DIV/0!</v>
      </c>
      <c r="Z283" s="96" t="e">
        <f t="shared" si="105"/>
        <v>#DIV/0!</v>
      </c>
      <c r="AC283" s="105">
        <f t="shared" si="108"/>
        <v>0</v>
      </c>
      <c r="AF283" s="49">
        <f t="shared" si="118"/>
        <v>0</v>
      </c>
      <c r="AI283" s="109">
        <f t="shared" si="101"/>
        <v>0</v>
      </c>
      <c r="AL283" s="27">
        <f t="shared" ref="AL283:AL293" si="119">AJ283+AK283</f>
        <v>0</v>
      </c>
      <c r="AP283" s="106">
        <f t="shared" si="99"/>
        <v>0</v>
      </c>
      <c r="AS283" s="118" t="e">
        <f t="shared" si="113"/>
        <v>#DIV/0!</v>
      </c>
      <c r="AT283" s="118" t="e">
        <f t="shared" si="114"/>
        <v>#DIV/0!</v>
      </c>
      <c r="BB283" s="106">
        <f t="shared" si="106"/>
        <v>0</v>
      </c>
      <c r="BD283" s="50"/>
      <c r="BF283" s="106">
        <f t="shared" si="107"/>
        <v>0</v>
      </c>
      <c r="BG283" s="23"/>
      <c r="BH283" s="23"/>
      <c r="BL283" s="114">
        <f t="shared" si="117"/>
        <v>0</v>
      </c>
    </row>
    <row r="284" spans="1:64" x14ac:dyDescent="0.2">
      <c r="A284" s="13" t="str">
        <f t="shared" si="102"/>
        <v>2037Q3</v>
      </c>
      <c r="B284" s="11">
        <f t="shared" si="109"/>
        <v>2037</v>
      </c>
      <c r="C284" s="11" t="s">
        <v>3</v>
      </c>
      <c r="F284" s="87">
        <f t="shared" si="103"/>
        <v>0</v>
      </c>
      <c r="I284" s="93">
        <f t="shared" si="110"/>
        <v>0</v>
      </c>
      <c r="J284" s="95" t="e">
        <f t="shared" si="115"/>
        <v>#DIV/0!</v>
      </c>
      <c r="K284" s="95" t="e">
        <f t="shared" si="116"/>
        <v>#DIV/0!</v>
      </c>
      <c r="T284" s="96" t="e">
        <f t="shared" si="111"/>
        <v>#DIV/0!</v>
      </c>
      <c r="V284" s="96" t="e">
        <f t="shared" si="112"/>
        <v>#DIV/0!</v>
      </c>
      <c r="X284" s="96" t="e">
        <f t="shared" si="104"/>
        <v>#DIV/0!</v>
      </c>
      <c r="Z284" s="96" t="e">
        <f t="shared" si="105"/>
        <v>#DIV/0!</v>
      </c>
      <c r="AC284" s="105">
        <f t="shared" si="108"/>
        <v>0</v>
      </c>
      <c r="AF284" s="49">
        <f t="shared" si="118"/>
        <v>0</v>
      </c>
      <c r="AI284" s="109">
        <f t="shared" si="101"/>
        <v>0</v>
      </c>
      <c r="AL284" s="27">
        <f t="shared" si="119"/>
        <v>0</v>
      </c>
      <c r="AP284" s="106">
        <f t="shared" si="99"/>
        <v>0</v>
      </c>
      <c r="AS284" s="118" t="e">
        <f t="shared" si="113"/>
        <v>#DIV/0!</v>
      </c>
      <c r="AT284" s="118" t="e">
        <f t="shared" si="114"/>
        <v>#DIV/0!</v>
      </c>
      <c r="BB284" s="106">
        <f t="shared" si="106"/>
        <v>0</v>
      </c>
      <c r="BD284" s="50"/>
      <c r="BF284" s="106">
        <f t="shared" si="107"/>
        <v>0</v>
      </c>
      <c r="BG284" s="23"/>
      <c r="BH284" s="23"/>
      <c r="BL284" s="114">
        <f t="shared" si="117"/>
        <v>0</v>
      </c>
    </row>
    <row r="285" spans="1:64" x14ac:dyDescent="0.2">
      <c r="A285" s="13" t="str">
        <f t="shared" si="102"/>
        <v>2037Q4</v>
      </c>
      <c r="B285" s="11">
        <f t="shared" si="109"/>
        <v>2037</v>
      </c>
      <c r="C285" s="11" t="s">
        <v>4</v>
      </c>
      <c r="F285" s="87">
        <f t="shared" si="103"/>
        <v>0</v>
      </c>
      <c r="I285" s="93">
        <f t="shared" si="110"/>
        <v>0</v>
      </c>
      <c r="J285" s="95" t="e">
        <f t="shared" si="115"/>
        <v>#DIV/0!</v>
      </c>
      <c r="K285" s="95" t="e">
        <f t="shared" si="116"/>
        <v>#DIV/0!</v>
      </c>
      <c r="T285" s="96" t="e">
        <f t="shared" si="111"/>
        <v>#DIV/0!</v>
      </c>
      <c r="V285" s="96" t="e">
        <f t="shared" si="112"/>
        <v>#DIV/0!</v>
      </c>
      <c r="X285" s="96" t="e">
        <f t="shared" si="104"/>
        <v>#DIV/0!</v>
      </c>
      <c r="Z285" s="96" t="e">
        <f t="shared" si="105"/>
        <v>#DIV/0!</v>
      </c>
      <c r="AC285" s="105">
        <f t="shared" si="108"/>
        <v>0</v>
      </c>
      <c r="AF285" s="49">
        <f t="shared" si="118"/>
        <v>0</v>
      </c>
      <c r="AI285" s="109">
        <f t="shared" si="101"/>
        <v>0</v>
      </c>
      <c r="AL285" s="27">
        <f t="shared" si="119"/>
        <v>0</v>
      </c>
      <c r="AP285" s="106">
        <f t="shared" si="99"/>
        <v>0</v>
      </c>
      <c r="AS285" s="118" t="e">
        <f t="shared" si="113"/>
        <v>#DIV/0!</v>
      </c>
      <c r="AT285" s="118" t="e">
        <f t="shared" si="114"/>
        <v>#DIV/0!</v>
      </c>
      <c r="BB285" s="106">
        <f t="shared" si="106"/>
        <v>0</v>
      </c>
      <c r="BD285" s="50"/>
      <c r="BF285" s="106">
        <f t="shared" si="107"/>
        <v>0</v>
      </c>
      <c r="BG285" s="23"/>
      <c r="BH285" s="23"/>
      <c r="BL285" s="114">
        <f t="shared" si="117"/>
        <v>0</v>
      </c>
    </row>
    <row r="286" spans="1:64" x14ac:dyDescent="0.2">
      <c r="A286" s="13" t="str">
        <f t="shared" si="102"/>
        <v>2038Q1</v>
      </c>
      <c r="B286" s="11">
        <f t="shared" si="109"/>
        <v>2038</v>
      </c>
      <c r="C286" s="11" t="s">
        <v>1</v>
      </c>
      <c r="F286" s="87">
        <f t="shared" si="103"/>
        <v>0</v>
      </c>
      <c r="I286" s="93">
        <f t="shared" si="110"/>
        <v>0</v>
      </c>
      <c r="J286" s="95" t="e">
        <f t="shared" si="115"/>
        <v>#DIV/0!</v>
      </c>
      <c r="K286" s="95" t="e">
        <f t="shared" si="116"/>
        <v>#DIV/0!</v>
      </c>
      <c r="T286" s="96" t="e">
        <f t="shared" si="111"/>
        <v>#DIV/0!</v>
      </c>
      <c r="V286" s="96" t="e">
        <f t="shared" si="112"/>
        <v>#DIV/0!</v>
      </c>
      <c r="X286" s="96" t="e">
        <f t="shared" si="104"/>
        <v>#DIV/0!</v>
      </c>
      <c r="Z286" s="96" t="e">
        <f t="shared" si="105"/>
        <v>#DIV/0!</v>
      </c>
      <c r="AC286" s="105">
        <f t="shared" si="108"/>
        <v>0</v>
      </c>
      <c r="AF286" s="49">
        <f t="shared" si="118"/>
        <v>0</v>
      </c>
      <c r="AI286" s="109">
        <f t="shared" ref="AI286:AI293" si="120">AG286+AH286</f>
        <v>0</v>
      </c>
      <c r="AL286" s="27">
        <f t="shared" si="119"/>
        <v>0</v>
      </c>
      <c r="AP286" s="106">
        <f t="shared" si="99"/>
        <v>0</v>
      </c>
      <c r="AS286" s="118" t="e">
        <f t="shared" si="113"/>
        <v>#DIV/0!</v>
      </c>
      <c r="AT286" s="118" t="e">
        <f t="shared" si="114"/>
        <v>#DIV/0!</v>
      </c>
      <c r="BB286" s="106">
        <f t="shared" si="106"/>
        <v>0</v>
      </c>
      <c r="BD286" s="50"/>
      <c r="BF286" s="106">
        <f t="shared" si="107"/>
        <v>0</v>
      </c>
      <c r="BG286" s="23"/>
      <c r="BH286" s="23"/>
      <c r="BL286" s="114">
        <f t="shared" si="117"/>
        <v>0</v>
      </c>
    </row>
    <row r="287" spans="1:64" x14ac:dyDescent="0.2">
      <c r="A287" s="13" t="str">
        <f t="shared" si="102"/>
        <v>2038Q2</v>
      </c>
      <c r="B287" s="11">
        <f t="shared" si="109"/>
        <v>2038</v>
      </c>
      <c r="C287" s="11" t="s">
        <v>2</v>
      </c>
      <c r="F287" s="87">
        <f t="shared" si="103"/>
        <v>0</v>
      </c>
      <c r="I287" s="93">
        <f t="shared" si="110"/>
        <v>0</v>
      </c>
      <c r="J287" s="95" t="e">
        <f t="shared" si="115"/>
        <v>#DIV/0!</v>
      </c>
      <c r="K287" s="95" t="e">
        <f t="shared" si="116"/>
        <v>#DIV/0!</v>
      </c>
      <c r="T287" s="96" t="e">
        <f t="shared" si="111"/>
        <v>#DIV/0!</v>
      </c>
      <c r="V287" s="96" t="e">
        <f t="shared" si="112"/>
        <v>#DIV/0!</v>
      </c>
      <c r="X287" s="96" t="e">
        <f t="shared" si="104"/>
        <v>#DIV/0!</v>
      </c>
      <c r="Z287" s="96" t="e">
        <f t="shared" si="105"/>
        <v>#DIV/0!</v>
      </c>
      <c r="AC287" s="105">
        <f t="shared" si="108"/>
        <v>0</v>
      </c>
      <c r="AF287" s="49">
        <f t="shared" si="118"/>
        <v>0</v>
      </c>
      <c r="AI287" s="109">
        <f t="shared" si="120"/>
        <v>0</v>
      </c>
      <c r="AL287" s="27">
        <f t="shared" si="119"/>
        <v>0</v>
      </c>
      <c r="AP287" s="106">
        <f t="shared" si="99"/>
        <v>0</v>
      </c>
      <c r="AS287" s="118" t="e">
        <f t="shared" si="113"/>
        <v>#DIV/0!</v>
      </c>
      <c r="AT287" s="118" t="e">
        <f t="shared" si="114"/>
        <v>#DIV/0!</v>
      </c>
      <c r="BB287" s="106">
        <f t="shared" si="106"/>
        <v>0</v>
      </c>
      <c r="BD287" s="50"/>
      <c r="BF287" s="106">
        <f t="shared" si="107"/>
        <v>0</v>
      </c>
      <c r="BG287" s="23"/>
      <c r="BH287" s="23"/>
      <c r="BL287" s="114">
        <f t="shared" si="117"/>
        <v>0</v>
      </c>
    </row>
    <row r="288" spans="1:64" x14ac:dyDescent="0.2">
      <c r="A288" s="13" t="str">
        <f t="shared" si="102"/>
        <v>2038Q3</v>
      </c>
      <c r="B288" s="11">
        <f t="shared" si="109"/>
        <v>2038</v>
      </c>
      <c r="C288" s="11" t="s">
        <v>3</v>
      </c>
      <c r="F288" s="87">
        <f t="shared" si="103"/>
        <v>0</v>
      </c>
      <c r="I288" s="93">
        <f t="shared" si="110"/>
        <v>0</v>
      </c>
      <c r="J288" s="95" t="e">
        <f t="shared" si="115"/>
        <v>#DIV/0!</v>
      </c>
      <c r="K288" s="95" t="e">
        <f t="shared" si="116"/>
        <v>#DIV/0!</v>
      </c>
      <c r="T288" s="96" t="e">
        <f t="shared" si="111"/>
        <v>#DIV/0!</v>
      </c>
      <c r="V288" s="96" t="e">
        <f t="shared" si="112"/>
        <v>#DIV/0!</v>
      </c>
      <c r="X288" s="96" t="e">
        <f t="shared" si="104"/>
        <v>#DIV/0!</v>
      </c>
      <c r="Z288" s="96" t="e">
        <f t="shared" si="105"/>
        <v>#DIV/0!</v>
      </c>
      <c r="AC288" s="105">
        <f t="shared" si="108"/>
        <v>0</v>
      </c>
      <c r="AF288" s="49">
        <f t="shared" si="118"/>
        <v>0</v>
      </c>
      <c r="AI288" s="109">
        <f t="shared" si="120"/>
        <v>0</v>
      </c>
      <c r="AL288" s="27">
        <f t="shared" si="119"/>
        <v>0</v>
      </c>
      <c r="AP288" s="106">
        <f t="shared" si="99"/>
        <v>0</v>
      </c>
      <c r="AS288" s="118" t="e">
        <f t="shared" si="113"/>
        <v>#DIV/0!</v>
      </c>
      <c r="AT288" s="118" t="e">
        <f t="shared" si="114"/>
        <v>#DIV/0!</v>
      </c>
      <c r="BB288" s="106">
        <f t="shared" si="106"/>
        <v>0</v>
      </c>
      <c r="BD288" s="50"/>
      <c r="BF288" s="106">
        <f t="shared" si="107"/>
        <v>0</v>
      </c>
      <c r="BG288" s="23"/>
      <c r="BH288" s="23"/>
      <c r="BL288" s="114">
        <f t="shared" si="117"/>
        <v>0</v>
      </c>
    </row>
    <row r="289" spans="1:64" x14ac:dyDescent="0.2">
      <c r="A289" s="13" t="str">
        <f t="shared" si="102"/>
        <v>2038Q4</v>
      </c>
      <c r="B289" s="11">
        <f t="shared" si="109"/>
        <v>2038</v>
      </c>
      <c r="C289" s="11" t="s">
        <v>4</v>
      </c>
      <c r="F289" s="87">
        <f t="shared" si="103"/>
        <v>0</v>
      </c>
      <c r="I289" s="93">
        <f t="shared" si="110"/>
        <v>0</v>
      </c>
      <c r="J289" s="95" t="e">
        <f t="shared" si="115"/>
        <v>#DIV/0!</v>
      </c>
      <c r="K289" s="95" t="e">
        <f t="shared" si="116"/>
        <v>#DIV/0!</v>
      </c>
      <c r="T289" s="96" t="e">
        <f t="shared" si="111"/>
        <v>#DIV/0!</v>
      </c>
      <c r="V289" s="96" t="e">
        <f t="shared" si="112"/>
        <v>#DIV/0!</v>
      </c>
      <c r="X289" s="96" t="e">
        <f t="shared" si="104"/>
        <v>#DIV/0!</v>
      </c>
      <c r="Z289" s="96" t="e">
        <f t="shared" si="105"/>
        <v>#DIV/0!</v>
      </c>
      <c r="AC289" s="105">
        <f t="shared" si="108"/>
        <v>0</v>
      </c>
      <c r="AF289" s="49">
        <f t="shared" si="118"/>
        <v>0</v>
      </c>
      <c r="AI289" s="109">
        <f t="shared" si="120"/>
        <v>0</v>
      </c>
      <c r="AL289" s="27">
        <f t="shared" si="119"/>
        <v>0</v>
      </c>
      <c r="AP289" s="106">
        <f t="shared" si="99"/>
        <v>0</v>
      </c>
      <c r="AS289" s="118" t="e">
        <f t="shared" si="113"/>
        <v>#DIV/0!</v>
      </c>
      <c r="AT289" s="118" t="e">
        <f t="shared" si="114"/>
        <v>#DIV/0!</v>
      </c>
      <c r="BB289" s="106">
        <f t="shared" si="106"/>
        <v>0</v>
      </c>
      <c r="BD289" s="50"/>
      <c r="BF289" s="106">
        <f t="shared" si="107"/>
        <v>0</v>
      </c>
      <c r="BG289" s="23"/>
      <c r="BH289" s="23"/>
      <c r="BL289" s="114">
        <f t="shared" si="117"/>
        <v>0</v>
      </c>
    </row>
    <row r="290" spans="1:64" x14ac:dyDescent="0.2">
      <c r="A290" s="13" t="str">
        <f t="shared" si="102"/>
        <v>2039Q1</v>
      </c>
      <c r="B290" s="11">
        <f t="shared" si="109"/>
        <v>2039</v>
      </c>
      <c r="C290" s="11" t="s">
        <v>1</v>
      </c>
      <c r="F290" s="87">
        <f t="shared" si="103"/>
        <v>0</v>
      </c>
      <c r="I290" s="93">
        <f t="shared" si="110"/>
        <v>0</v>
      </c>
      <c r="J290" s="95" t="e">
        <f t="shared" si="115"/>
        <v>#DIV/0!</v>
      </c>
      <c r="K290" s="95" t="e">
        <f t="shared" si="116"/>
        <v>#DIV/0!</v>
      </c>
      <c r="T290" s="96" t="e">
        <f t="shared" si="111"/>
        <v>#DIV/0!</v>
      </c>
      <c r="V290" s="96" t="e">
        <f t="shared" si="112"/>
        <v>#DIV/0!</v>
      </c>
      <c r="X290" s="96" t="e">
        <f t="shared" si="104"/>
        <v>#DIV/0!</v>
      </c>
      <c r="Z290" s="96" t="e">
        <f t="shared" si="105"/>
        <v>#DIV/0!</v>
      </c>
      <c r="AC290" s="105">
        <f t="shared" si="108"/>
        <v>0</v>
      </c>
      <c r="AF290" s="49">
        <f t="shared" si="118"/>
        <v>0</v>
      </c>
      <c r="AI290" s="109">
        <f t="shared" si="120"/>
        <v>0</v>
      </c>
      <c r="AL290" s="27">
        <f t="shared" si="119"/>
        <v>0</v>
      </c>
      <c r="AP290" s="106">
        <f t="shared" si="99"/>
        <v>0</v>
      </c>
      <c r="AS290" s="118" t="e">
        <f t="shared" si="113"/>
        <v>#DIV/0!</v>
      </c>
      <c r="AT290" s="118" t="e">
        <f t="shared" si="114"/>
        <v>#DIV/0!</v>
      </c>
      <c r="BB290" s="106">
        <f t="shared" si="106"/>
        <v>0</v>
      </c>
      <c r="BD290" s="50"/>
      <c r="BF290" s="106">
        <f t="shared" si="107"/>
        <v>0</v>
      </c>
      <c r="BG290" s="23"/>
      <c r="BH290" s="23"/>
      <c r="BL290" s="114">
        <f t="shared" si="117"/>
        <v>0</v>
      </c>
    </row>
    <row r="291" spans="1:64" x14ac:dyDescent="0.2">
      <c r="A291" s="13" t="str">
        <f t="shared" si="102"/>
        <v>2039Q2</v>
      </c>
      <c r="B291" s="11">
        <f t="shared" si="109"/>
        <v>2039</v>
      </c>
      <c r="C291" s="11" t="s">
        <v>2</v>
      </c>
      <c r="F291" s="87">
        <f t="shared" si="103"/>
        <v>0</v>
      </c>
      <c r="I291" s="93">
        <f t="shared" si="110"/>
        <v>0</v>
      </c>
      <c r="J291" s="95" t="e">
        <f t="shared" si="115"/>
        <v>#DIV/0!</v>
      </c>
      <c r="K291" s="95" t="e">
        <f t="shared" si="116"/>
        <v>#DIV/0!</v>
      </c>
      <c r="T291" s="96" t="e">
        <f t="shared" si="111"/>
        <v>#DIV/0!</v>
      </c>
      <c r="V291" s="96" t="e">
        <f t="shared" si="112"/>
        <v>#DIV/0!</v>
      </c>
      <c r="X291" s="96" t="e">
        <f t="shared" si="104"/>
        <v>#DIV/0!</v>
      </c>
      <c r="Z291" s="96" t="e">
        <f t="shared" si="105"/>
        <v>#DIV/0!</v>
      </c>
      <c r="AC291" s="105">
        <f t="shared" si="108"/>
        <v>0</v>
      </c>
      <c r="AF291" s="49">
        <f t="shared" si="118"/>
        <v>0</v>
      </c>
      <c r="AI291" s="109">
        <f t="shared" si="120"/>
        <v>0</v>
      </c>
      <c r="AL291" s="27">
        <f t="shared" si="119"/>
        <v>0</v>
      </c>
      <c r="AP291" s="106">
        <f t="shared" si="99"/>
        <v>0</v>
      </c>
      <c r="AS291" s="118" t="e">
        <f t="shared" si="113"/>
        <v>#DIV/0!</v>
      </c>
      <c r="AT291" s="118" t="e">
        <f t="shared" si="114"/>
        <v>#DIV/0!</v>
      </c>
      <c r="BB291" s="106">
        <f t="shared" si="106"/>
        <v>0</v>
      </c>
      <c r="BD291" s="50"/>
      <c r="BF291" s="106">
        <f t="shared" si="107"/>
        <v>0</v>
      </c>
      <c r="BG291" s="23"/>
      <c r="BH291" s="23"/>
      <c r="BL291" s="114">
        <f t="shared" si="117"/>
        <v>0</v>
      </c>
    </row>
    <row r="292" spans="1:64" x14ac:dyDescent="0.2">
      <c r="A292" s="13" t="str">
        <f t="shared" si="102"/>
        <v>2039Q3</v>
      </c>
      <c r="B292" s="11">
        <f t="shared" si="109"/>
        <v>2039</v>
      </c>
      <c r="C292" s="11" t="s">
        <v>3</v>
      </c>
      <c r="F292" s="87">
        <f t="shared" si="103"/>
        <v>0</v>
      </c>
      <c r="I292" s="93">
        <f t="shared" si="110"/>
        <v>0</v>
      </c>
      <c r="J292" s="95" t="e">
        <f t="shared" si="115"/>
        <v>#DIV/0!</v>
      </c>
      <c r="K292" s="95" t="e">
        <f t="shared" si="116"/>
        <v>#DIV/0!</v>
      </c>
      <c r="T292" s="96" t="e">
        <f t="shared" si="111"/>
        <v>#DIV/0!</v>
      </c>
      <c r="V292" s="96" t="e">
        <f t="shared" si="112"/>
        <v>#DIV/0!</v>
      </c>
      <c r="X292" s="96" t="e">
        <f t="shared" si="104"/>
        <v>#DIV/0!</v>
      </c>
      <c r="Z292" s="96" t="e">
        <f t="shared" si="105"/>
        <v>#DIV/0!</v>
      </c>
      <c r="AC292" s="105">
        <f t="shared" si="108"/>
        <v>0</v>
      </c>
      <c r="AF292" s="49">
        <f t="shared" si="118"/>
        <v>0</v>
      </c>
      <c r="AI292" s="109">
        <f t="shared" si="120"/>
        <v>0</v>
      </c>
      <c r="AL292" s="27">
        <f t="shared" si="119"/>
        <v>0</v>
      </c>
      <c r="AP292" s="106">
        <f t="shared" si="99"/>
        <v>0</v>
      </c>
      <c r="AS292" s="118" t="e">
        <f t="shared" si="113"/>
        <v>#DIV/0!</v>
      </c>
      <c r="AT292" s="118" t="e">
        <f t="shared" si="114"/>
        <v>#DIV/0!</v>
      </c>
      <c r="BB292" s="106">
        <f t="shared" si="106"/>
        <v>0</v>
      </c>
      <c r="BD292" s="50"/>
      <c r="BF292" s="106">
        <f t="shared" si="107"/>
        <v>0</v>
      </c>
      <c r="BG292" s="23"/>
      <c r="BH292" s="23"/>
      <c r="BL292" s="114">
        <f t="shared" si="117"/>
        <v>0</v>
      </c>
    </row>
    <row r="293" spans="1:64" x14ac:dyDescent="0.2">
      <c r="A293" s="13" t="str">
        <f t="shared" si="102"/>
        <v>2039Q4</v>
      </c>
      <c r="B293" s="11">
        <f t="shared" si="109"/>
        <v>2039</v>
      </c>
      <c r="C293" s="11" t="s">
        <v>4</v>
      </c>
      <c r="F293" s="87">
        <f t="shared" si="103"/>
        <v>0</v>
      </c>
      <c r="I293" s="93">
        <f t="shared" si="110"/>
        <v>0</v>
      </c>
      <c r="J293" s="95" t="e">
        <f t="shared" si="115"/>
        <v>#DIV/0!</v>
      </c>
      <c r="K293" s="95" t="e">
        <f t="shared" si="116"/>
        <v>#DIV/0!</v>
      </c>
      <c r="T293" s="96" t="e">
        <f t="shared" si="111"/>
        <v>#DIV/0!</v>
      </c>
      <c r="V293" s="96" t="e">
        <f t="shared" si="112"/>
        <v>#DIV/0!</v>
      </c>
      <c r="X293" s="96" t="e">
        <f t="shared" si="104"/>
        <v>#DIV/0!</v>
      </c>
      <c r="Z293" s="96" t="e">
        <f t="shared" si="105"/>
        <v>#DIV/0!</v>
      </c>
      <c r="AC293" s="105">
        <f t="shared" si="108"/>
        <v>0</v>
      </c>
      <c r="AF293" s="49">
        <f t="shared" si="118"/>
        <v>0</v>
      </c>
      <c r="AI293" s="109">
        <f t="shared" si="120"/>
        <v>0</v>
      </c>
      <c r="AL293" s="27">
        <f t="shared" si="119"/>
        <v>0</v>
      </c>
      <c r="AP293" s="106">
        <f t="shared" si="99"/>
        <v>0</v>
      </c>
      <c r="AS293" s="118" t="e">
        <f t="shared" si="113"/>
        <v>#DIV/0!</v>
      </c>
      <c r="AT293" s="118" t="e">
        <f t="shared" si="114"/>
        <v>#DIV/0!</v>
      </c>
      <c r="BB293" s="106">
        <f t="shared" si="106"/>
        <v>0</v>
      </c>
      <c r="BD293" s="50"/>
      <c r="BF293" s="106">
        <f t="shared" si="107"/>
        <v>0</v>
      </c>
      <c r="BG293" s="23"/>
      <c r="BH293" s="23"/>
      <c r="BL293" s="114">
        <f t="shared" si="117"/>
        <v>0</v>
      </c>
    </row>
    <row r="294" spans="1:64" x14ac:dyDescent="0.2">
      <c r="AI294" s="109"/>
      <c r="AL294" s="27"/>
      <c r="BD294" s="50"/>
    </row>
    <row r="295" spans="1:64" x14ac:dyDescent="0.2">
      <c r="AI295" s="109"/>
      <c r="BD295" s="50"/>
    </row>
    <row r="296" spans="1:64" x14ac:dyDescent="0.2">
      <c r="BD296" s="50"/>
    </row>
    <row r="297" spans="1:64" x14ac:dyDescent="0.2">
      <c r="BD297" s="50"/>
    </row>
    <row r="298" spans="1:64" x14ac:dyDescent="0.2">
      <c r="BD298" s="50"/>
    </row>
    <row r="299" spans="1:64" x14ac:dyDescent="0.2">
      <c r="BD299" s="50"/>
    </row>
    <row r="300" spans="1:64" x14ac:dyDescent="0.2">
      <c r="BD300" s="50"/>
    </row>
    <row r="301" spans="1:64" x14ac:dyDescent="0.2">
      <c r="BD301" s="50"/>
    </row>
    <row r="302" spans="1:64" x14ac:dyDescent="0.2">
      <c r="BD302" s="50"/>
    </row>
    <row r="303" spans="1:64" x14ac:dyDescent="0.2">
      <c r="BD303" s="50"/>
    </row>
    <row r="304" spans="1:64" x14ac:dyDescent="0.2">
      <c r="BD304" s="50"/>
    </row>
    <row r="305" spans="56:56" x14ac:dyDescent="0.2">
      <c r="BD305" s="50"/>
    </row>
    <row r="306" spans="56:56" x14ac:dyDescent="0.2">
      <c r="BD306" s="50"/>
    </row>
    <row r="307" spans="56:56" x14ac:dyDescent="0.2">
      <c r="BD307" s="50"/>
    </row>
    <row r="308" spans="56:56" x14ac:dyDescent="0.2">
      <c r="BD308" s="50"/>
    </row>
    <row r="309" spans="56:56" x14ac:dyDescent="0.2">
      <c r="BD309" s="50"/>
    </row>
    <row r="310" spans="56:56" x14ac:dyDescent="0.2">
      <c r="BD310" s="50"/>
    </row>
    <row r="311" spans="56:56" x14ac:dyDescent="0.2">
      <c r="BD311" s="50"/>
    </row>
    <row r="312" spans="56:56" x14ac:dyDescent="0.2">
      <c r="BD312" s="50"/>
    </row>
    <row r="313" spans="56:56" x14ac:dyDescent="0.2">
      <c r="BD313" s="50"/>
    </row>
    <row r="314" spans="56:56" x14ac:dyDescent="0.2">
      <c r="BD314" s="50"/>
    </row>
    <row r="315" spans="56:56" x14ac:dyDescent="0.2">
      <c r="BD315" s="50"/>
    </row>
    <row r="316" spans="56:56" x14ac:dyDescent="0.2">
      <c r="BD316" s="50"/>
    </row>
    <row r="317" spans="56:56" x14ac:dyDescent="0.2">
      <c r="BD317" s="50"/>
    </row>
    <row r="318" spans="56:56" x14ac:dyDescent="0.2">
      <c r="BD318" s="50"/>
    </row>
    <row r="319" spans="56:56" x14ac:dyDescent="0.2">
      <c r="BD319" s="50"/>
    </row>
    <row r="320" spans="56:56" x14ac:dyDescent="0.2">
      <c r="BD320" s="50"/>
    </row>
    <row r="321" spans="56:56" x14ac:dyDescent="0.2">
      <c r="BD321" s="50"/>
    </row>
    <row r="322" spans="56:56" x14ac:dyDescent="0.2">
      <c r="BD322" s="50"/>
    </row>
    <row r="323" spans="56:56" x14ac:dyDescent="0.2">
      <c r="BD323" s="50"/>
    </row>
    <row r="324" spans="56:56" x14ac:dyDescent="0.2">
      <c r="BD324" s="50"/>
    </row>
    <row r="325" spans="56:56" x14ac:dyDescent="0.2">
      <c r="BD325" s="50"/>
    </row>
    <row r="326" spans="56:56" x14ac:dyDescent="0.2">
      <c r="BD326" s="50"/>
    </row>
    <row r="327" spans="56:56" x14ac:dyDescent="0.2">
      <c r="BD327" s="50"/>
    </row>
    <row r="328" spans="56:56" x14ac:dyDescent="0.2">
      <c r="BD328" s="50"/>
    </row>
    <row r="329" spans="56:56" x14ac:dyDescent="0.2">
      <c r="BD329" s="50"/>
    </row>
    <row r="330" spans="56:56" x14ac:dyDescent="0.2">
      <c r="BD330" s="50"/>
    </row>
    <row r="331" spans="56:56" x14ac:dyDescent="0.2">
      <c r="BD331" s="50"/>
    </row>
    <row r="332" spans="56:56" x14ac:dyDescent="0.2">
      <c r="BD332" s="50"/>
    </row>
    <row r="333" spans="56:56" x14ac:dyDescent="0.2">
      <c r="BD333" s="50"/>
    </row>
    <row r="334" spans="56:56" x14ac:dyDescent="0.2">
      <c r="BD334" s="50"/>
    </row>
    <row r="335" spans="56:56" x14ac:dyDescent="0.2">
      <c r="BD335" s="50"/>
    </row>
    <row r="336" spans="56:56" x14ac:dyDescent="0.2">
      <c r="BD336" s="50"/>
    </row>
    <row r="337" spans="56:56" x14ac:dyDescent="0.2">
      <c r="BD337" s="50"/>
    </row>
    <row r="338" spans="56:56" x14ac:dyDescent="0.2">
      <c r="BD338" s="50"/>
    </row>
    <row r="339" spans="56:56" x14ac:dyDescent="0.2">
      <c r="BD339" s="50"/>
    </row>
    <row r="340" spans="56:56" x14ac:dyDescent="0.2">
      <c r="BD340" s="50"/>
    </row>
    <row r="341" spans="56:56" x14ac:dyDescent="0.2">
      <c r="BD341" s="50"/>
    </row>
    <row r="342" spans="56:56" x14ac:dyDescent="0.2">
      <c r="BD342" s="50"/>
    </row>
    <row r="343" spans="56:56" x14ac:dyDescent="0.2">
      <c r="BD343" s="50"/>
    </row>
    <row r="344" spans="56:56" x14ac:dyDescent="0.2">
      <c r="BD344" s="50"/>
    </row>
    <row r="345" spans="56:56" x14ac:dyDescent="0.2">
      <c r="BD345" s="50"/>
    </row>
    <row r="346" spans="56:56" x14ac:dyDescent="0.2">
      <c r="BD346" s="50"/>
    </row>
    <row r="347" spans="56:56" x14ac:dyDescent="0.2">
      <c r="BD347" s="50"/>
    </row>
    <row r="348" spans="56:56" x14ac:dyDescent="0.2">
      <c r="BD348" s="50"/>
    </row>
    <row r="349" spans="56:56" x14ac:dyDescent="0.2">
      <c r="BD349" s="50"/>
    </row>
    <row r="350" spans="56:56" x14ac:dyDescent="0.2">
      <c r="BD350" s="50"/>
    </row>
    <row r="351" spans="56:56" x14ac:dyDescent="0.2">
      <c r="BD351" s="50"/>
    </row>
    <row r="352" spans="56:56" x14ac:dyDescent="0.2">
      <c r="BD352" s="50"/>
    </row>
    <row r="353" spans="56:56" x14ac:dyDescent="0.2">
      <c r="BD353" s="50"/>
    </row>
    <row r="354" spans="56:56" x14ac:dyDescent="0.2">
      <c r="BD354" s="50"/>
    </row>
    <row r="355" spans="56:56" x14ac:dyDescent="0.2">
      <c r="BD355" s="50"/>
    </row>
    <row r="356" spans="56:56" x14ac:dyDescent="0.2">
      <c r="BD356" s="50"/>
    </row>
    <row r="357" spans="56:56" x14ac:dyDescent="0.2">
      <c r="BD357" s="50"/>
    </row>
    <row r="358" spans="56:56" x14ac:dyDescent="0.2">
      <c r="BD358" s="50"/>
    </row>
    <row r="359" spans="56:56" x14ac:dyDescent="0.2">
      <c r="BD359" s="50"/>
    </row>
    <row r="360" spans="56:56" x14ac:dyDescent="0.2">
      <c r="BD360" s="50"/>
    </row>
    <row r="361" spans="56:56" x14ac:dyDescent="0.2">
      <c r="BD361" s="50"/>
    </row>
    <row r="362" spans="56:56" x14ac:dyDescent="0.2">
      <c r="BD362" s="50"/>
    </row>
    <row r="363" spans="56:56" x14ac:dyDescent="0.2">
      <c r="BD363" s="50"/>
    </row>
    <row r="364" spans="56:56" x14ac:dyDescent="0.2">
      <c r="BD364" s="50"/>
    </row>
    <row r="365" spans="56:56" x14ac:dyDescent="0.2">
      <c r="BD365" s="50"/>
    </row>
    <row r="366" spans="56:56" x14ac:dyDescent="0.2">
      <c r="BD366" s="50"/>
    </row>
    <row r="367" spans="56:56" x14ac:dyDescent="0.2">
      <c r="BD367" s="50"/>
    </row>
    <row r="368" spans="56:56" x14ac:dyDescent="0.2">
      <c r="BD368" s="50"/>
    </row>
    <row r="369" spans="56:56" x14ac:dyDescent="0.2">
      <c r="BD369" s="50"/>
    </row>
    <row r="370" spans="56:56" x14ac:dyDescent="0.2">
      <c r="BD370" s="50"/>
    </row>
    <row r="371" spans="56:56" x14ac:dyDescent="0.2">
      <c r="BD371" s="50"/>
    </row>
    <row r="372" spans="56:56" x14ac:dyDescent="0.2">
      <c r="BD372" s="50"/>
    </row>
    <row r="373" spans="56:56" x14ac:dyDescent="0.2">
      <c r="BD373" s="50"/>
    </row>
    <row r="374" spans="56:56" x14ac:dyDescent="0.2">
      <c r="BD374" s="50"/>
    </row>
    <row r="375" spans="56:56" x14ac:dyDescent="0.2">
      <c r="BD375" s="50"/>
    </row>
    <row r="376" spans="56:56" x14ac:dyDescent="0.2">
      <c r="BD376" s="50"/>
    </row>
    <row r="377" spans="56:56" x14ac:dyDescent="0.2">
      <c r="BD377" s="50"/>
    </row>
    <row r="378" spans="56:56" x14ac:dyDescent="0.2">
      <c r="BD378" s="50"/>
    </row>
  </sheetData>
  <mergeCells count="5">
    <mergeCell ref="AN3:BB3"/>
    <mergeCell ref="BD3:BL3"/>
    <mergeCell ref="D3:AL3"/>
    <mergeCell ref="D1:E1"/>
    <mergeCell ref="D2:E2"/>
  </mergeCells>
  <phoneticPr fontId="0" type="noConversion"/>
  <conditionalFormatting sqref="BF201:BH65536 BB166:BB65536 BL166:BL65536 F158:F65536 AP166:AP65536 AC166:AC65536 AF166:AF65536 AI126:AI295 I166:I65536 BF166:BF200 AL126:AL294">
    <cfRule type="cellIs" dxfId="7" priority="1" stopIfTrue="1" operator="lessThanOrEqual">
      <formula>0</formula>
    </cfRule>
  </conditionalFormatting>
  <pageMargins left="0.75" right="0.75" top="1" bottom="1" header="0.5" footer="0.5"/>
  <pageSetup paperSize="9" scale="67" fitToWidth="4" fitToHeight="4" pageOrder="overThenDown" orientation="landscape" r:id="rId1"/>
  <headerFooter alignWithMargins="0"/>
  <rowBreaks count="3" manualBreakCount="3">
    <brk id="54" min="1" max="63" man="1"/>
    <brk id="95" min="1" max="63" man="1"/>
    <brk id="158" min="1" max="63" man="1"/>
  </rowBreaks>
  <colBreaks count="3" manualBreakCount="3">
    <brk id="16" min="3" max="186" man="1"/>
    <brk id="28" min="3" max="186" man="1"/>
    <brk id="47" min="3" max="186" man="1"/>
  </col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AA84"/>
  <sheetViews>
    <sheetView showGridLines="0" zoomScaleNormal="100" workbookViewId="0">
      <pane xSplit="3" ySplit="5" topLeftCell="D6" activePane="bottomRight" state="frozen"/>
      <selection activeCell="AA2" sqref="AA2"/>
      <selection pane="topRight" activeCell="AA2" sqref="AA2"/>
      <selection pane="bottomLeft" activeCell="AA2" sqref="AA2"/>
      <selection pane="bottomRight" activeCell="D6" sqref="D6"/>
    </sheetView>
  </sheetViews>
  <sheetFormatPr defaultColWidth="8.85546875" defaultRowHeight="12.75" customHeight="1" x14ac:dyDescent="0.3"/>
  <cols>
    <col min="1" max="1" width="7.42578125" style="131" customWidth="1"/>
    <col min="2" max="2" width="4.85546875" style="131" customWidth="1"/>
    <col min="3" max="3" width="4.85546875" style="174" customWidth="1"/>
    <col min="4" max="4" width="12.85546875" style="172" customWidth="1"/>
    <col min="5" max="5" width="3.85546875" style="174" customWidth="1"/>
    <col min="6" max="6" width="12.85546875" style="172" customWidth="1"/>
    <col min="7" max="7" width="3.85546875" style="174" customWidth="1"/>
    <col min="8" max="8" width="12.85546875" style="172" customWidth="1"/>
    <col min="9" max="9" width="3.85546875" style="174" customWidth="1"/>
    <col min="10" max="10" width="12.85546875" style="173" customWidth="1"/>
    <col min="11" max="11" width="3.85546875" style="174" customWidth="1"/>
    <col min="12" max="16384" width="8.85546875" style="134"/>
  </cols>
  <sheetData>
    <row r="1" spans="1:17" ht="12.75" customHeight="1" x14ac:dyDescent="0.3">
      <c r="B1" s="132"/>
      <c r="C1" s="133"/>
      <c r="D1" s="132"/>
      <c r="E1" s="133"/>
      <c r="F1" s="132"/>
      <c r="G1" s="133"/>
      <c r="H1" s="132"/>
      <c r="I1" s="133"/>
      <c r="J1" s="132"/>
      <c r="K1" s="133"/>
    </row>
    <row r="2" spans="1:17" s="136" customFormat="1" ht="31.5" customHeight="1" x14ac:dyDescent="0.3">
      <c r="A2" s="193" t="s">
        <v>169</v>
      </c>
      <c r="B2" s="194"/>
      <c r="C2" s="194"/>
      <c r="D2" s="195" t="s">
        <v>170</v>
      </c>
      <c r="E2" s="133"/>
      <c r="F2" s="132"/>
      <c r="G2" s="133"/>
      <c r="H2" s="132"/>
      <c r="I2" s="133"/>
      <c r="J2" s="132"/>
      <c r="K2" s="133"/>
      <c r="L2" s="132"/>
      <c r="M2" s="132"/>
      <c r="N2" s="132"/>
    </row>
    <row r="3" spans="1:17" s="136" customFormat="1" ht="17.25" x14ac:dyDescent="0.3">
      <c r="A3" s="196" t="s">
        <v>154</v>
      </c>
      <c r="B3" s="197"/>
      <c r="C3" s="214"/>
      <c r="D3" s="198" t="s">
        <v>156</v>
      </c>
      <c r="E3" s="283"/>
      <c r="F3" s="188"/>
      <c r="G3" s="283"/>
      <c r="H3" s="188"/>
      <c r="I3" s="283"/>
      <c r="J3" s="188"/>
      <c r="K3" s="283"/>
      <c r="L3" s="132"/>
      <c r="M3" s="132"/>
      <c r="N3" s="132"/>
    </row>
    <row r="4" spans="1:17" ht="10.5" customHeight="1" thickBot="1" x14ac:dyDescent="0.35">
      <c r="A4" s="137"/>
      <c r="B4" s="137"/>
      <c r="C4" s="215"/>
      <c r="D4" s="137"/>
      <c r="E4" s="215"/>
      <c r="F4" s="137"/>
      <c r="G4" s="215"/>
      <c r="H4" s="137"/>
      <c r="I4" s="215"/>
      <c r="J4" s="337"/>
      <c r="K4" s="337"/>
    </row>
    <row r="5" spans="1:17" ht="30.75" customHeight="1" thickBot="1" x14ac:dyDescent="0.35">
      <c r="A5" s="231"/>
      <c r="B5" s="231"/>
      <c r="C5" s="232"/>
      <c r="D5" s="346" t="s">
        <v>123</v>
      </c>
      <c r="E5" s="346"/>
      <c r="F5" s="347" t="s">
        <v>237</v>
      </c>
      <c r="G5" s="347"/>
      <c r="H5" s="347" t="s">
        <v>398</v>
      </c>
      <c r="I5" s="347"/>
      <c r="J5" s="347" t="s">
        <v>240</v>
      </c>
      <c r="K5" s="347"/>
    </row>
    <row r="6" spans="1:17" s="146" customFormat="1" ht="12.75" customHeight="1" x14ac:dyDescent="0.25">
      <c r="A6" s="143">
        <v>2007</v>
      </c>
      <c r="B6" s="143"/>
      <c r="C6" s="213"/>
      <c r="D6" s="144">
        <v>106644</v>
      </c>
      <c r="E6" s="145" t="s">
        <v>508</v>
      </c>
      <c r="F6" s="144">
        <v>64480</v>
      </c>
      <c r="G6" s="145" t="s">
        <v>508</v>
      </c>
      <c r="H6" s="144" t="s">
        <v>207</v>
      </c>
      <c r="I6" s="145" t="s">
        <v>508</v>
      </c>
      <c r="J6" s="144">
        <v>42164</v>
      </c>
      <c r="K6" s="145" t="s">
        <v>508</v>
      </c>
    </row>
    <row r="7" spans="1:17" s="146" customFormat="1" ht="12.75" customHeight="1" x14ac:dyDescent="0.25">
      <c r="A7" s="143">
        <v>2008</v>
      </c>
      <c r="B7" s="143"/>
      <c r="C7" s="213"/>
      <c r="D7" s="144">
        <v>106544</v>
      </c>
      <c r="E7" s="145" t="s">
        <v>508</v>
      </c>
      <c r="F7" s="144">
        <v>67428</v>
      </c>
      <c r="G7" s="145" t="s">
        <v>508</v>
      </c>
      <c r="H7" s="144" t="s">
        <v>207</v>
      </c>
      <c r="I7" s="145" t="s">
        <v>508</v>
      </c>
      <c r="J7" s="144">
        <v>39116</v>
      </c>
      <c r="K7" s="145" t="s">
        <v>508</v>
      </c>
    </row>
    <row r="8" spans="1:17" s="146" customFormat="1" ht="12.75" customHeight="1" x14ac:dyDescent="0.25">
      <c r="A8" s="143">
        <v>2009</v>
      </c>
      <c r="B8" s="143"/>
      <c r="C8" s="213"/>
      <c r="D8" s="144">
        <v>134143</v>
      </c>
      <c r="E8" s="145" t="s">
        <v>508</v>
      </c>
      <c r="F8" s="144">
        <v>74671</v>
      </c>
      <c r="G8" s="145" t="s">
        <v>508</v>
      </c>
      <c r="H8" s="144">
        <v>11831</v>
      </c>
      <c r="I8" s="145" t="s">
        <v>508</v>
      </c>
      <c r="J8" s="144">
        <v>47641</v>
      </c>
      <c r="K8" s="145" t="s">
        <v>508</v>
      </c>
    </row>
    <row r="9" spans="1:17" s="146" customFormat="1" ht="12.75" customHeight="1" x14ac:dyDescent="0.25">
      <c r="A9" s="143">
        <v>2010</v>
      </c>
      <c r="B9" s="143"/>
      <c r="C9" s="213"/>
      <c r="D9" s="144">
        <v>135046</v>
      </c>
      <c r="E9" s="145" t="s">
        <v>508</v>
      </c>
      <c r="F9" s="144">
        <v>59173</v>
      </c>
      <c r="G9" s="145" t="s">
        <v>508</v>
      </c>
      <c r="H9" s="144">
        <v>25179</v>
      </c>
      <c r="I9" s="145" t="s">
        <v>508</v>
      </c>
      <c r="J9" s="144">
        <v>50694</v>
      </c>
      <c r="K9" s="145" t="s">
        <v>508</v>
      </c>
    </row>
    <row r="10" spans="1:17" s="146" customFormat="1" ht="12.75" customHeight="1" x14ac:dyDescent="0.25">
      <c r="A10" s="143">
        <v>2011</v>
      </c>
      <c r="B10" s="143"/>
      <c r="C10" s="213"/>
      <c r="D10" s="144">
        <v>119943.00000000003</v>
      </c>
      <c r="E10" s="145" t="s">
        <v>508</v>
      </c>
      <c r="F10" s="144">
        <v>41875.999999999942</v>
      </c>
      <c r="G10" s="145" t="s">
        <v>508</v>
      </c>
      <c r="H10" s="144">
        <v>29009</v>
      </c>
      <c r="I10" s="145" t="s">
        <v>508</v>
      </c>
      <c r="J10" s="144">
        <v>49058.000000000102</v>
      </c>
      <c r="K10" s="145" t="s">
        <v>508</v>
      </c>
    </row>
    <row r="11" spans="1:17" s="146" customFormat="1" ht="12.75" customHeight="1" x14ac:dyDescent="0.25">
      <c r="A11" s="143">
        <v>2012</v>
      </c>
      <c r="B11" s="143"/>
      <c r="C11" s="213"/>
      <c r="D11" s="144">
        <v>109640</v>
      </c>
      <c r="E11" s="145" t="s">
        <v>508</v>
      </c>
      <c r="F11" s="144">
        <v>31787.000000000011</v>
      </c>
      <c r="G11" s="145" t="s">
        <v>508</v>
      </c>
      <c r="H11" s="144">
        <v>31179</v>
      </c>
      <c r="I11" s="145" t="s">
        <v>508</v>
      </c>
      <c r="J11" s="144">
        <v>46674</v>
      </c>
      <c r="K11" s="145" t="s">
        <v>508</v>
      </c>
    </row>
    <row r="12" spans="1:17" s="146" customFormat="1" ht="12.75" customHeight="1" x14ac:dyDescent="0.25">
      <c r="A12" s="143">
        <v>2013</v>
      </c>
      <c r="B12" s="143"/>
      <c r="C12" s="213"/>
      <c r="D12" s="144">
        <v>100998.0000000001</v>
      </c>
      <c r="E12" s="145" t="s">
        <v>508</v>
      </c>
      <c r="F12" s="144">
        <v>24570.999999999993</v>
      </c>
      <c r="G12" s="145" t="s">
        <v>508</v>
      </c>
      <c r="H12" s="144">
        <v>27546</v>
      </c>
      <c r="I12" s="145" t="s">
        <v>508</v>
      </c>
      <c r="J12" s="144">
        <v>48881.000000000095</v>
      </c>
      <c r="K12" s="145" t="s">
        <v>508</v>
      </c>
    </row>
    <row r="13" spans="1:17" s="146" customFormat="1" ht="12.75" customHeight="1" x14ac:dyDescent="0.25">
      <c r="A13" s="143">
        <v>2014</v>
      </c>
      <c r="B13" s="143"/>
      <c r="C13" s="213"/>
      <c r="D13" s="144">
        <v>99223.000000000116</v>
      </c>
      <c r="E13" s="145" t="s">
        <v>508</v>
      </c>
      <c r="F13" s="144">
        <v>20345</v>
      </c>
      <c r="G13" s="145" t="s">
        <v>508</v>
      </c>
      <c r="H13" s="144">
        <v>26688</v>
      </c>
      <c r="I13" s="145" t="s">
        <v>508</v>
      </c>
      <c r="J13" s="144">
        <v>52190.000000000102</v>
      </c>
      <c r="K13" s="145" t="s">
        <v>508</v>
      </c>
      <c r="M13" s="315"/>
      <c r="N13" s="315"/>
      <c r="O13" s="315"/>
      <c r="P13" s="315"/>
      <c r="Q13" s="315"/>
    </row>
    <row r="14" spans="1:17" s="146" customFormat="1" ht="12.75" customHeight="1" x14ac:dyDescent="0.25">
      <c r="A14" s="143">
        <v>2015</v>
      </c>
      <c r="B14" s="143"/>
      <c r="C14" s="213"/>
      <c r="D14" s="144">
        <v>80403.999999999942</v>
      </c>
      <c r="E14" s="145" t="s">
        <v>508</v>
      </c>
      <c r="F14" s="144">
        <v>15844.999999999991</v>
      </c>
      <c r="G14" s="145" t="s">
        <v>508</v>
      </c>
      <c r="H14" s="144">
        <v>24175</v>
      </c>
      <c r="I14" s="145" t="s">
        <v>508</v>
      </c>
      <c r="J14" s="144">
        <v>40383.999999999949</v>
      </c>
      <c r="K14" s="145" t="s">
        <v>508</v>
      </c>
      <c r="M14" s="315"/>
      <c r="N14" s="315"/>
      <c r="O14" s="315"/>
      <c r="P14" s="315"/>
      <c r="Q14" s="315"/>
    </row>
    <row r="15" spans="1:17" s="146" customFormat="1" ht="12.75" customHeight="1" x14ac:dyDescent="0.25">
      <c r="A15" s="143">
        <v>2016</v>
      </c>
      <c r="B15" s="213" t="s">
        <v>508</v>
      </c>
      <c r="C15" s="217"/>
      <c r="D15" s="144">
        <v>90619</v>
      </c>
      <c r="E15" s="145" t="s">
        <v>280</v>
      </c>
      <c r="F15" s="144">
        <v>15006.000000000009</v>
      </c>
      <c r="G15" s="145" t="s">
        <v>280</v>
      </c>
      <c r="H15" s="144">
        <v>26196</v>
      </c>
      <c r="I15" s="145" t="s">
        <v>508</v>
      </c>
      <c r="J15" s="144">
        <v>49417</v>
      </c>
      <c r="K15" s="145" t="s">
        <v>280</v>
      </c>
      <c r="M15" s="315"/>
      <c r="N15" s="315"/>
      <c r="O15" s="315"/>
      <c r="P15" s="315"/>
      <c r="Q15" s="315"/>
    </row>
    <row r="16" spans="1:17" s="142" customFormat="1" ht="12.75" customHeight="1" x14ac:dyDescent="0.25">
      <c r="A16" s="148"/>
      <c r="B16" s="148"/>
      <c r="C16" s="218"/>
      <c r="D16" s="149"/>
      <c r="E16" s="154"/>
      <c r="F16" s="149"/>
      <c r="G16" s="154"/>
      <c r="H16" s="149"/>
      <c r="I16" s="154"/>
      <c r="J16" s="149"/>
      <c r="K16" s="154"/>
      <c r="M16" s="313"/>
      <c r="O16" s="313"/>
      <c r="Q16" s="313"/>
    </row>
    <row r="17" spans="1:11" s="142" customFormat="1" ht="12.75" customHeight="1" x14ac:dyDescent="0.25">
      <c r="A17" s="151">
        <v>2007</v>
      </c>
      <c r="B17" s="152" t="s">
        <v>1</v>
      </c>
      <c r="C17" s="219"/>
      <c r="D17" s="153">
        <v>29196</v>
      </c>
      <c r="E17" s="154" t="s">
        <v>508</v>
      </c>
      <c r="F17" s="153">
        <v>16742</v>
      </c>
      <c r="G17" s="154" t="s">
        <v>508</v>
      </c>
      <c r="H17" s="153" t="s">
        <v>207</v>
      </c>
      <c r="I17" s="154" t="s">
        <v>508</v>
      </c>
      <c r="J17" s="153">
        <v>12454</v>
      </c>
      <c r="K17" s="154" t="s">
        <v>508</v>
      </c>
    </row>
    <row r="18" spans="1:11" s="142" customFormat="1" ht="12.75" customHeight="1" x14ac:dyDescent="0.25">
      <c r="A18" s="151"/>
      <c r="B18" s="152" t="s">
        <v>2</v>
      </c>
      <c r="C18" s="219"/>
      <c r="D18" s="153">
        <v>26995</v>
      </c>
      <c r="E18" s="154" t="s">
        <v>508</v>
      </c>
      <c r="F18" s="153">
        <v>16493</v>
      </c>
      <c r="G18" s="154" t="s">
        <v>508</v>
      </c>
      <c r="H18" s="153" t="s">
        <v>207</v>
      </c>
      <c r="I18" s="154" t="s">
        <v>508</v>
      </c>
      <c r="J18" s="153">
        <v>10502</v>
      </c>
      <c r="K18" s="154" t="s">
        <v>508</v>
      </c>
    </row>
    <row r="19" spans="1:11" s="142" customFormat="1" ht="12.75" customHeight="1" x14ac:dyDescent="0.25">
      <c r="A19" s="151"/>
      <c r="B19" s="152" t="s">
        <v>3</v>
      </c>
      <c r="C19" s="219"/>
      <c r="D19" s="153">
        <v>26019</v>
      </c>
      <c r="E19" s="154" t="s">
        <v>508</v>
      </c>
      <c r="F19" s="153">
        <v>15934</v>
      </c>
      <c r="G19" s="154" t="s">
        <v>508</v>
      </c>
      <c r="H19" s="153" t="s">
        <v>207</v>
      </c>
      <c r="I19" s="154" t="s">
        <v>508</v>
      </c>
      <c r="J19" s="153">
        <v>10085</v>
      </c>
      <c r="K19" s="154" t="s">
        <v>508</v>
      </c>
    </row>
    <row r="20" spans="1:11" s="142" customFormat="1" ht="12.75" customHeight="1" x14ac:dyDescent="0.25">
      <c r="A20" s="151"/>
      <c r="B20" s="152" t="s">
        <v>4</v>
      </c>
      <c r="C20" s="219"/>
      <c r="D20" s="153">
        <v>24434</v>
      </c>
      <c r="E20" s="154" t="s">
        <v>508</v>
      </c>
      <c r="F20" s="153">
        <v>15311</v>
      </c>
      <c r="G20" s="154" t="s">
        <v>508</v>
      </c>
      <c r="H20" s="153" t="s">
        <v>207</v>
      </c>
      <c r="I20" s="154" t="s">
        <v>508</v>
      </c>
      <c r="J20" s="153">
        <v>9123</v>
      </c>
      <c r="K20" s="154" t="s">
        <v>508</v>
      </c>
    </row>
    <row r="21" spans="1:11" s="142" customFormat="1" ht="12.75" customHeight="1" x14ac:dyDescent="0.25">
      <c r="A21" s="151"/>
      <c r="B21" s="152"/>
      <c r="C21" s="219"/>
      <c r="D21" s="153"/>
      <c r="E21" s="154"/>
      <c r="F21" s="153"/>
      <c r="G21" s="154"/>
      <c r="H21" s="153"/>
      <c r="I21" s="154"/>
      <c r="J21" s="153"/>
      <c r="K21" s="154"/>
    </row>
    <row r="22" spans="1:11" s="142" customFormat="1" ht="12.75" customHeight="1" x14ac:dyDescent="0.25">
      <c r="A22" s="151">
        <v>2008</v>
      </c>
      <c r="B22" s="152" t="s">
        <v>1</v>
      </c>
      <c r="C22" s="219"/>
      <c r="D22" s="153">
        <v>25123</v>
      </c>
      <c r="E22" s="154" t="s">
        <v>508</v>
      </c>
      <c r="F22" s="153">
        <v>15482</v>
      </c>
      <c r="G22" s="154" t="s">
        <v>508</v>
      </c>
      <c r="H22" s="153" t="s">
        <v>207</v>
      </c>
      <c r="I22" s="154" t="s">
        <v>508</v>
      </c>
      <c r="J22" s="153">
        <v>9641</v>
      </c>
      <c r="K22" s="154" t="s">
        <v>508</v>
      </c>
    </row>
    <row r="23" spans="1:11" s="142" customFormat="1" ht="12.75" customHeight="1" x14ac:dyDescent="0.25">
      <c r="A23" s="151"/>
      <c r="B23" s="152" t="s">
        <v>2</v>
      </c>
      <c r="C23" s="219"/>
      <c r="D23" s="153">
        <v>24911</v>
      </c>
      <c r="E23" s="154" t="s">
        <v>508</v>
      </c>
      <c r="F23" s="153">
        <v>15536</v>
      </c>
      <c r="G23" s="154" t="s">
        <v>508</v>
      </c>
      <c r="H23" s="153" t="s">
        <v>207</v>
      </c>
      <c r="I23" s="154" t="s">
        <v>508</v>
      </c>
      <c r="J23" s="153">
        <v>9375</v>
      </c>
      <c r="K23" s="154" t="s">
        <v>508</v>
      </c>
    </row>
    <row r="24" spans="1:11" s="142" customFormat="1" ht="12.75" customHeight="1" x14ac:dyDescent="0.25">
      <c r="A24" s="151"/>
      <c r="B24" s="152" t="s">
        <v>3</v>
      </c>
      <c r="C24" s="219"/>
      <c r="D24" s="153">
        <v>27276</v>
      </c>
      <c r="E24" s="154" t="s">
        <v>508</v>
      </c>
      <c r="F24" s="153">
        <v>17474</v>
      </c>
      <c r="G24" s="154" t="s">
        <v>508</v>
      </c>
      <c r="H24" s="153" t="s">
        <v>207</v>
      </c>
      <c r="I24" s="154" t="s">
        <v>508</v>
      </c>
      <c r="J24" s="153">
        <v>9802</v>
      </c>
      <c r="K24" s="154" t="s">
        <v>508</v>
      </c>
    </row>
    <row r="25" spans="1:11" s="142" customFormat="1" ht="12.75" customHeight="1" x14ac:dyDescent="0.25">
      <c r="A25" s="151"/>
      <c r="B25" s="152" t="s">
        <v>4</v>
      </c>
      <c r="C25" s="219"/>
      <c r="D25" s="153">
        <v>29234</v>
      </c>
      <c r="E25" s="154" t="s">
        <v>508</v>
      </c>
      <c r="F25" s="153">
        <v>18936</v>
      </c>
      <c r="G25" s="154" t="s">
        <v>508</v>
      </c>
      <c r="H25" s="153" t="s">
        <v>207</v>
      </c>
      <c r="I25" s="154" t="s">
        <v>508</v>
      </c>
      <c r="J25" s="153">
        <v>10298</v>
      </c>
      <c r="K25" s="154" t="s">
        <v>508</v>
      </c>
    </row>
    <row r="26" spans="1:11" s="142" customFormat="1" ht="12.75" customHeight="1" x14ac:dyDescent="0.25">
      <c r="A26" s="151"/>
      <c r="B26" s="152"/>
      <c r="C26" s="219"/>
      <c r="D26" s="153"/>
      <c r="E26" s="154"/>
      <c r="F26" s="153"/>
      <c r="G26" s="154"/>
      <c r="H26" s="153"/>
      <c r="I26" s="154"/>
      <c r="J26" s="153"/>
      <c r="K26" s="154"/>
    </row>
    <row r="27" spans="1:11" s="142" customFormat="1" ht="12.75" customHeight="1" x14ac:dyDescent="0.25">
      <c r="A27" s="151">
        <v>2009</v>
      </c>
      <c r="B27" s="152" t="s">
        <v>1</v>
      </c>
      <c r="C27" s="219"/>
      <c r="D27" s="153">
        <v>29680</v>
      </c>
      <c r="E27" s="154" t="s">
        <v>508</v>
      </c>
      <c r="F27" s="153">
        <v>18958</v>
      </c>
      <c r="G27" s="154" t="s">
        <v>508</v>
      </c>
      <c r="H27" s="153" t="s">
        <v>207</v>
      </c>
      <c r="I27" s="154" t="s">
        <v>508</v>
      </c>
      <c r="J27" s="153">
        <v>10722</v>
      </c>
      <c r="K27" s="154" t="s">
        <v>508</v>
      </c>
    </row>
    <row r="28" spans="1:11" s="142" customFormat="1" ht="12.75" customHeight="1" x14ac:dyDescent="0.25">
      <c r="A28" s="151"/>
      <c r="B28" s="152" t="s">
        <v>2</v>
      </c>
      <c r="C28" s="219"/>
      <c r="D28" s="153">
        <v>33132</v>
      </c>
      <c r="E28" s="154" t="s">
        <v>508</v>
      </c>
      <c r="F28" s="153">
        <v>19121</v>
      </c>
      <c r="G28" s="154" t="s">
        <v>508</v>
      </c>
      <c r="H28" s="153">
        <v>1978</v>
      </c>
      <c r="I28" s="154" t="s">
        <v>508</v>
      </c>
      <c r="J28" s="153">
        <v>12033</v>
      </c>
      <c r="K28" s="154" t="s">
        <v>508</v>
      </c>
    </row>
    <row r="29" spans="1:11" s="142" customFormat="1" ht="12.75" customHeight="1" x14ac:dyDescent="0.25">
      <c r="A29" s="151"/>
      <c r="B29" s="152" t="s">
        <v>3</v>
      </c>
      <c r="C29" s="219"/>
      <c r="D29" s="153">
        <v>35032</v>
      </c>
      <c r="E29" s="154" t="s">
        <v>508</v>
      </c>
      <c r="F29" s="153">
        <v>18659</v>
      </c>
      <c r="G29" s="154" t="s">
        <v>508</v>
      </c>
      <c r="H29" s="153">
        <v>4505</v>
      </c>
      <c r="I29" s="154" t="s">
        <v>508</v>
      </c>
      <c r="J29" s="153">
        <v>11868</v>
      </c>
      <c r="K29" s="154" t="s">
        <v>508</v>
      </c>
    </row>
    <row r="30" spans="1:11" s="142" customFormat="1" ht="12.75" customHeight="1" x14ac:dyDescent="0.25">
      <c r="A30" s="151"/>
      <c r="B30" s="152" t="s">
        <v>4</v>
      </c>
      <c r="C30" s="219"/>
      <c r="D30" s="153">
        <v>36299</v>
      </c>
      <c r="E30" s="154" t="s">
        <v>508</v>
      </c>
      <c r="F30" s="153">
        <v>17933</v>
      </c>
      <c r="G30" s="154" t="s">
        <v>508</v>
      </c>
      <c r="H30" s="153">
        <v>5348</v>
      </c>
      <c r="I30" s="154" t="s">
        <v>508</v>
      </c>
      <c r="J30" s="153">
        <v>13018</v>
      </c>
      <c r="K30" s="154" t="s">
        <v>508</v>
      </c>
    </row>
    <row r="31" spans="1:11" s="142" customFormat="1" ht="12.75" customHeight="1" x14ac:dyDescent="0.25">
      <c r="A31" s="151"/>
      <c r="B31" s="152"/>
      <c r="C31" s="219"/>
      <c r="D31" s="153"/>
      <c r="E31" s="154"/>
      <c r="F31" s="153"/>
      <c r="G31" s="154"/>
      <c r="H31" s="153"/>
      <c r="I31" s="154"/>
      <c r="J31" s="153"/>
      <c r="K31" s="154"/>
    </row>
    <row r="32" spans="1:11" s="142" customFormat="1" ht="12.75" customHeight="1" x14ac:dyDescent="0.25">
      <c r="A32" s="151">
        <v>2010</v>
      </c>
      <c r="B32" s="152" t="s">
        <v>1</v>
      </c>
      <c r="C32" s="219"/>
      <c r="D32" s="153">
        <v>35456</v>
      </c>
      <c r="E32" s="154" t="s">
        <v>508</v>
      </c>
      <c r="F32" s="153">
        <v>17058</v>
      </c>
      <c r="G32" s="154" t="s">
        <v>508</v>
      </c>
      <c r="H32" s="153">
        <v>5644</v>
      </c>
      <c r="I32" s="154" t="s">
        <v>508</v>
      </c>
      <c r="J32" s="153">
        <v>12754</v>
      </c>
      <c r="K32" s="154" t="s">
        <v>508</v>
      </c>
    </row>
    <row r="33" spans="1:11" s="142" customFormat="1" ht="12.75" customHeight="1" x14ac:dyDescent="0.25">
      <c r="A33" s="151"/>
      <c r="B33" s="152" t="s">
        <v>2</v>
      </c>
      <c r="C33" s="219"/>
      <c r="D33" s="153">
        <v>34813</v>
      </c>
      <c r="E33" s="154" t="s">
        <v>508</v>
      </c>
      <c r="F33" s="153">
        <v>15256</v>
      </c>
      <c r="G33" s="154" t="s">
        <v>508</v>
      </c>
      <c r="H33" s="153">
        <v>6295</v>
      </c>
      <c r="I33" s="154" t="s">
        <v>508</v>
      </c>
      <c r="J33" s="153">
        <v>13262</v>
      </c>
      <c r="K33" s="154" t="s">
        <v>508</v>
      </c>
    </row>
    <row r="34" spans="1:11" s="142" customFormat="1" ht="12.75" customHeight="1" x14ac:dyDescent="0.25">
      <c r="A34" s="151"/>
      <c r="B34" s="152" t="s">
        <v>3</v>
      </c>
      <c r="C34" s="219"/>
      <c r="D34" s="153">
        <v>33602</v>
      </c>
      <c r="E34" s="154" t="s">
        <v>508</v>
      </c>
      <c r="F34" s="153">
        <v>14155</v>
      </c>
      <c r="G34" s="154" t="s">
        <v>508</v>
      </c>
      <c r="H34" s="153">
        <v>7068</v>
      </c>
      <c r="I34" s="154" t="s">
        <v>508</v>
      </c>
      <c r="J34" s="153">
        <v>12379</v>
      </c>
      <c r="K34" s="154" t="s">
        <v>508</v>
      </c>
    </row>
    <row r="35" spans="1:11" s="142" customFormat="1" ht="12.75" customHeight="1" x14ac:dyDescent="0.25">
      <c r="A35" s="151"/>
      <c r="B35" s="152" t="s">
        <v>4</v>
      </c>
      <c r="C35" s="219"/>
      <c r="D35" s="153">
        <v>31175</v>
      </c>
      <c r="E35" s="154" t="s">
        <v>508</v>
      </c>
      <c r="F35" s="153">
        <v>12704</v>
      </c>
      <c r="G35" s="154" t="s">
        <v>508</v>
      </c>
      <c r="H35" s="153">
        <v>6172</v>
      </c>
      <c r="I35" s="154" t="s">
        <v>508</v>
      </c>
      <c r="J35" s="153">
        <v>12299</v>
      </c>
      <c r="K35" s="154" t="s">
        <v>508</v>
      </c>
    </row>
    <row r="36" spans="1:11" s="142" customFormat="1" ht="12.75" customHeight="1" x14ac:dyDescent="0.25">
      <c r="A36" s="151"/>
      <c r="B36" s="152"/>
      <c r="C36" s="219"/>
      <c r="D36" s="153"/>
      <c r="E36" s="154"/>
      <c r="F36" s="153"/>
      <c r="G36" s="154"/>
      <c r="H36" s="153"/>
      <c r="I36" s="154"/>
      <c r="J36" s="153"/>
      <c r="K36" s="154"/>
    </row>
    <row r="37" spans="1:11" s="142" customFormat="1" ht="12.75" customHeight="1" x14ac:dyDescent="0.25">
      <c r="A37" s="151">
        <v>2011</v>
      </c>
      <c r="B37" s="152" t="s">
        <v>1</v>
      </c>
      <c r="C37" s="219"/>
      <c r="D37" s="153">
        <v>30253.4370186714</v>
      </c>
      <c r="E37" s="154" t="s">
        <v>508</v>
      </c>
      <c r="F37" s="153">
        <v>11760.3355733227</v>
      </c>
      <c r="G37" s="154" t="s">
        <v>508</v>
      </c>
      <c r="H37" s="153">
        <v>6788</v>
      </c>
      <c r="I37" s="154" t="s">
        <v>508</v>
      </c>
      <c r="J37" s="153">
        <v>11705.101445348701</v>
      </c>
      <c r="K37" s="154" t="s">
        <v>508</v>
      </c>
    </row>
    <row r="38" spans="1:11" s="142" customFormat="1" ht="12.75" customHeight="1" x14ac:dyDescent="0.25">
      <c r="A38" s="151"/>
      <c r="B38" s="152" t="s">
        <v>2</v>
      </c>
      <c r="C38" s="219"/>
      <c r="D38" s="153">
        <v>30481.005751782599</v>
      </c>
      <c r="E38" s="154" t="s">
        <v>508</v>
      </c>
      <c r="F38" s="153">
        <v>11304.9546410033</v>
      </c>
      <c r="G38" s="154" t="s">
        <v>508</v>
      </c>
      <c r="H38" s="153">
        <v>7258</v>
      </c>
      <c r="I38" s="154" t="s">
        <v>508</v>
      </c>
      <c r="J38" s="153">
        <v>11918.051110779301</v>
      </c>
      <c r="K38" s="154" t="s">
        <v>508</v>
      </c>
    </row>
    <row r="39" spans="1:11" s="142" customFormat="1" ht="12.75" customHeight="1" x14ac:dyDescent="0.25">
      <c r="A39" s="151"/>
      <c r="B39" s="152" t="s">
        <v>3</v>
      </c>
      <c r="C39" s="219"/>
      <c r="D39" s="153">
        <v>29741.58177655367</v>
      </c>
      <c r="E39" s="154" t="s">
        <v>508</v>
      </c>
      <c r="F39" s="153">
        <v>9689.7918014033694</v>
      </c>
      <c r="G39" s="154" t="s">
        <v>508</v>
      </c>
      <c r="H39" s="153">
        <v>7604</v>
      </c>
      <c r="I39" s="154" t="s">
        <v>508</v>
      </c>
      <c r="J39" s="153">
        <v>12447.789975150299</v>
      </c>
      <c r="K39" s="154" t="s">
        <v>508</v>
      </c>
    </row>
    <row r="40" spans="1:11" s="142" customFormat="1" ht="12.75" customHeight="1" x14ac:dyDescent="0.25">
      <c r="A40" s="151"/>
      <c r="B40" s="152" t="s">
        <v>4</v>
      </c>
      <c r="C40" s="219"/>
      <c r="D40" s="153">
        <v>29466.97545299237</v>
      </c>
      <c r="E40" s="154" t="s">
        <v>508</v>
      </c>
      <c r="F40" s="153">
        <v>9120.9179842705707</v>
      </c>
      <c r="G40" s="154" t="s">
        <v>508</v>
      </c>
      <c r="H40" s="153">
        <v>7359</v>
      </c>
      <c r="I40" s="154" t="s">
        <v>508</v>
      </c>
      <c r="J40" s="153">
        <v>12987.0574687218</v>
      </c>
      <c r="K40" s="154" t="s">
        <v>508</v>
      </c>
    </row>
    <row r="41" spans="1:11" s="142" customFormat="1" ht="12.75" customHeight="1" x14ac:dyDescent="0.25">
      <c r="A41" s="151"/>
      <c r="B41" s="152"/>
      <c r="C41" s="219"/>
      <c r="D41" s="153"/>
      <c r="E41" s="154"/>
      <c r="F41" s="153"/>
      <c r="G41" s="154"/>
      <c r="H41" s="153"/>
      <c r="I41" s="154"/>
      <c r="J41" s="153"/>
      <c r="K41" s="154"/>
    </row>
    <row r="42" spans="1:11" s="142" customFormat="1" ht="12.75" customHeight="1" x14ac:dyDescent="0.25">
      <c r="A42" s="151">
        <v>2012</v>
      </c>
      <c r="B42" s="152" t="s">
        <v>1</v>
      </c>
      <c r="C42" s="219"/>
      <c r="D42" s="153">
        <v>29114.58448271433</v>
      </c>
      <c r="E42" s="154" t="s">
        <v>508</v>
      </c>
      <c r="F42" s="153">
        <v>8649.6575586789295</v>
      </c>
      <c r="G42" s="154" t="s">
        <v>508</v>
      </c>
      <c r="H42" s="153">
        <v>7897</v>
      </c>
      <c r="I42" s="154" t="s">
        <v>508</v>
      </c>
      <c r="J42" s="153">
        <v>12567.926924035401</v>
      </c>
      <c r="K42" s="154" t="s">
        <v>508</v>
      </c>
    </row>
    <row r="43" spans="1:11" s="142" customFormat="1" ht="12.75" customHeight="1" x14ac:dyDescent="0.25">
      <c r="A43" s="151"/>
      <c r="B43" s="152" t="s">
        <v>2</v>
      </c>
      <c r="C43" s="219"/>
      <c r="D43" s="153">
        <v>27223.118737929151</v>
      </c>
      <c r="E43" s="154" t="s">
        <v>508</v>
      </c>
      <c r="F43" s="153">
        <v>8158.4626641561499</v>
      </c>
      <c r="G43" s="154" t="s">
        <v>508</v>
      </c>
      <c r="H43" s="153">
        <v>7956</v>
      </c>
      <c r="I43" s="154" t="s">
        <v>508</v>
      </c>
      <c r="J43" s="153">
        <v>11108.656073773</v>
      </c>
      <c r="K43" s="154" t="s">
        <v>508</v>
      </c>
    </row>
    <row r="44" spans="1:11" s="142" customFormat="1" ht="12.75" customHeight="1" x14ac:dyDescent="0.25">
      <c r="A44" s="151"/>
      <c r="B44" s="152" t="s">
        <v>3</v>
      </c>
      <c r="C44" s="219"/>
      <c r="D44" s="153">
        <v>27454.73868984501</v>
      </c>
      <c r="E44" s="154" t="s">
        <v>508</v>
      </c>
      <c r="F44" s="153">
        <v>7680.8327716182102</v>
      </c>
      <c r="G44" s="154" t="s">
        <v>508</v>
      </c>
      <c r="H44" s="153">
        <v>7777</v>
      </c>
      <c r="I44" s="154" t="s">
        <v>508</v>
      </c>
      <c r="J44" s="153">
        <v>11996.905918226799</v>
      </c>
      <c r="K44" s="154" t="s">
        <v>508</v>
      </c>
    </row>
    <row r="45" spans="1:11" s="142" customFormat="1" ht="12.75" customHeight="1" x14ac:dyDescent="0.25">
      <c r="A45" s="151"/>
      <c r="B45" s="152" t="s">
        <v>4</v>
      </c>
      <c r="C45" s="219"/>
      <c r="D45" s="153">
        <v>25847.55808951152</v>
      </c>
      <c r="E45" s="154" t="s">
        <v>508</v>
      </c>
      <c r="F45" s="153">
        <v>7298.0470055467204</v>
      </c>
      <c r="G45" s="154" t="s">
        <v>508</v>
      </c>
      <c r="H45" s="153">
        <v>7549</v>
      </c>
      <c r="I45" s="154" t="s">
        <v>508</v>
      </c>
      <c r="J45" s="153">
        <v>11000.5110839648</v>
      </c>
      <c r="K45" s="154" t="s">
        <v>508</v>
      </c>
    </row>
    <row r="46" spans="1:11" s="142" customFormat="1" ht="12.75" customHeight="1" x14ac:dyDescent="0.25">
      <c r="A46" s="151"/>
      <c r="B46" s="152"/>
      <c r="C46" s="219"/>
      <c r="D46" s="153"/>
      <c r="E46" s="154"/>
      <c r="F46" s="153"/>
      <c r="G46" s="154"/>
      <c r="H46" s="153"/>
      <c r="I46" s="154"/>
      <c r="J46" s="153"/>
      <c r="K46" s="154"/>
    </row>
    <row r="47" spans="1:11" s="142" customFormat="1" ht="12.75" customHeight="1" x14ac:dyDescent="0.25">
      <c r="A47" s="151">
        <v>2013</v>
      </c>
      <c r="B47" s="152" t="s">
        <v>1</v>
      </c>
      <c r="C47" s="219"/>
      <c r="D47" s="153">
        <v>25694.808523155873</v>
      </c>
      <c r="E47" s="154" t="s">
        <v>508</v>
      </c>
      <c r="F47" s="153">
        <v>6615.4911052341704</v>
      </c>
      <c r="G47" s="154" t="s">
        <v>508</v>
      </c>
      <c r="H47" s="153">
        <v>7219</v>
      </c>
      <c r="I47" s="154" t="s">
        <v>508</v>
      </c>
      <c r="J47" s="153">
        <v>11860.3174179217</v>
      </c>
      <c r="K47" s="154" t="s">
        <v>508</v>
      </c>
    </row>
    <row r="48" spans="1:11" s="142" customFormat="1" ht="12.75" customHeight="1" x14ac:dyDescent="0.25">
      <c r="A48" s="151"/>
      <c r="B48" s="152" t="s">
        <v>2</v>
      </c>
      <c r="C48" s="219"/>
      <c r="D48" s="153">
        <v>25496.309481417502</v>
      </c>
      <c r="E48" s="154" t="s">
        <v>508</v>
      </c>
      <c r="F48" s="153">
        <v>6224.7030856189003</v>
      </c>
      <c r="G48" s="154" t="s">
        <v>508</v>
      </c>
      <c r="H48" s="153">
        <v>7132</v>
      </c>
      <c r="I48" s="154" t="s">
        <v>508</v>
      </c>
      <c r="J48" s="153">
        <v>12139.606395798601</v>
      </c>
      <c r="K48" s="154" t="s">
        <v>508</v>
      </c>
    </row>
    <row r="49" spans="1:11" s="142" customFormat="1" ht="12.75" customHeight="1" x14ac:dyDescent="0.25">
      <c r="A49" s="151"/>
      <c r="B49" s="152" t="s">
        <v>3</v>
      </c>
      <c r="C49" s="219"/>
      <c r="D49" s="153">
        <v>25159.258810384439</v>
      </c>
      <c r="E49" s="154" t="s">
        <v>508</v>
      </c>
      <c r="F49" s="153">
        <v>6017.9559364115403</v>
      </c>
      <c r="G49" s="154" t="s">
        <v>508</v>
      </c>
      <c r="H49" s="153">
        <v>6632</v>
      </c>
      <c r="I49" s="154" t="s">
        <v>508</v>
      </c>
      <c r="J49" s="153">
        <v>12509.3028739729</v>
      </c>
      <c r="K49" s="154" t="s">
        <v>508</v>
      </c>
    </row>
    <row r="50" spans="1:11" s="142" customFormat="1" ht="12.75" customHeight="1" x14ac:dyDescent="0.25">
      <c r="A50" s="151"/>
      <c r="B50" s="152" t="s">
        <v>4</v>
      </c>
      <c r="C50" s="219"/>
      <c r="D50" s="153">
        <v>24647.623185042277</v>
      </c>
      <c r="E50" s="154" t="s">
        <v>508</v>
      </c>
      <c r="F50" s="153">
        <v>5712.8498727353799</v>
      </c>
      <c r="G50" s="154" t="s">
        <v>508</v>
      </c>
      <c r="H50" s="153">
        <v>6563</v>
      </c>
      <c r="I50" s="154" t="s">
        <v>508</v>
      </c>
      <c r="J50" s="153">
        <v>12371.773312306899</v>
      </c>
      <c r="K50" s="154" t="s">
        <v>508</v>
      </c>
    </row>
    <row r="51" spans="1:11" s="142" customFormat="1" ht="12.75" customHeight="1" x14ac:dyDescent="0.25">
      <c r="A51" s="151"/>
      <c r="B51" s="152"/>
      <c r="C51" s="219"/>
      <c r="D51" s="153"/>
      <c r="E51" s="154"/>
      <c r="F51" s="153"/>
      <c r="G51" s="154"/>
      <c r="H51" s="153"/>
      <c r="I51" s="154"/>
      <c r="J51" s="153"/>
      <c r="K51" s="154"/>
    </row>
    <row r="52" spans="1:11" s="142" customFormat="1" ht="12.75" customHeight="1" x14ac:dyDescent="0.25">
      <c r="A52" s="151">
        <v>2014</v>
      </c>
      <c r="B52" s="152" t="s">
        <v>1</v>
      </c>
      <c r="C52" s="219"/>
      <c r="D52" s="153">
        <v>25363.47026587955</v>
      </c>
      <c r="E52" s="154" t="s">
        <v>508</v>
      </c>
      <c r="F52" s="153">
        <v>5405.2780227656503</v>
      </c>
      <c r="G52" s="154" t="s">
        <v>508</v>
      </c>
      <c r="H52" s="153">
        <v>6549</v>
      </c>
      <c r="I52" s="154" t="s">
        <v>508</v>
      </c>
      <c r="J52" s="153">
        <v>13409.192243113899</v>
      </c>
      <c r="K52" s="154" t="s">
        <v>508</v>
      </c>
    </row>
    <row r="53" spans="1:11" s="142" customFormat="1" ht="12.75" customHeight="1" x14ac:dyDescent="0.25">
      <c r="A53" s="151"/>
      <c r="B53" s="152" t="s">
        <v>2</v>
      </c>
      <c r="C53" s="219"/>
      <c r="D53" s="153">
        <v>27059.837102862239</v>
      </c>
      <c r="E53" s="154" t="s">
        <v>508</v>
      </c>
      <c r="F53" s="153">
        <v>5493.6928785475402</v>
      </c>
      <c r="G53" s="154" t="s">
        <v>508</v>
      </c>
      <c r="H53" s="153">
        <v>7006</v>
      </c>
      <c r="I53" s="154" t="s">
        <v>508</v>
      </c>
      <c r="J53" s="153">
        <v>14560.144224314699</v>
      </c>
      <c r="K53" s="154" t="s">
        <v>508</v>
      </c>
    </row>
    <row r="54" spans="1:11" s="142" customFormat="1" ht="12.75" customHeight="1" x14ac:dyDescent="0.25">
      <c r="A54" s="151"/>
      <c r="B54" s="152" t="s">
        <v>3</v>
      </c>
      <c r="C54" s="219"/>
      <c r="D54" s="153">
        <v>23949.589864393703</v>
      </c>
      <c r="E54" s="154" t="s">
        <v>508</v>
      </c>
      <c r="F54" s="153">
        <v>4910.5003458286001</v>
      </c>
      <c r="G54" s="154" t="s">
        <v>508</v>
      </c>
      <c r="H54" s="153">
        <v>6808</v>
      </c>
      <c r="I54" s="154" t="s">
        <v>508</v>
      </c>
      <c r="J54" s="153">
        <v>12231.089518565101</v>
      </c>
      <c r="K54" s="154" t="s">
        <v>508</v>
      </c>
    </row>
    <row r="55" spans="1:11" s="142" customFormat="1" ht="12.75" customHeight="1" x14ac:dyDescent="0.25">
      <c r="A55" s="151"/>
      <c r="B55" s="152" t="s">
        <v>4</v>
      </c>
      <c r="C55" s="219"/>
      <c r="D55" s="153">
        <v>22850.102766864613</v>
      </c>
      <c r="E55" s="154" t="s">
        <v>508</v>
      </c>
      <c r="F55" s="153">
        <v>4535.5287528582103</v>
      </c>
      <c r="G55" s="154" t="s">
        <v>508</v>
      </c>
      <c r="H55" s="153">
        <v>6325</v>
      </c>
      <c r="I55" s="154" t="s">
        <v>508</v>
      </c>
      <c r="J55" s="153">
        <v>11989.574014006401</v>
      </c>
      <c r="K55" s="154" t="s">
        <v>508</v>
      </c>
    </row>
    <row r="56" spans="1:11" s="142" customFormat="1" ht="12.75" customHeight="1" x14ac:dyDescent="0.25">
      <c r="A56" s="151"/>
      <c r="B56" s="152"/>
      <c r="C56" s="219"/>
      <c r="D56" s="153"/>
      <c r="E56" s="154"/>
      <c r="F56" s="153"/>
      <c r="G56" s="154"/>
      <c r="H56" s="153"/>
      <c r="I56" s="154"/>
      <c r="J56" s="153"/>
      <c r="K56" s="154"/>
    </row>
    <row r="57" spans="1:11" s="142" customFormat="1" ht="12.75" customHeight="1" x14ac:dyDescent="0.25">
      <c r="A57" s="151">
        <v>2015</v>
      </c>
      <c r="B57" s="152" t="s">
        <v>1</v>
      </c>
      <c r="C57" s="219"/>
      <c r="D57" s="153">
        <v>20868.433919611671</v>
      </c>
      <c r="E57" s="154" t="s">
        <v>508</v>
      </c>
      <c r="F57" s="153">
        <v>4178.61989964647</v>
      </c>
      <c r="G57" s="154" t="s">
        <v>508</v>
      </c>
      <c r="H57" s="153">
        <v>6213</v>
      </c>
      <c r="I57" s="154" t="s">
        <v>508</v>
      </c>
      <c r="J57" s="153">
        <v>10476.814019965201</v>
      </c>
      <c r="K57" s="154" t="s">
        <v>508</v>
      </c>
    </row>
    <row r="58" spans="1:11" s="142" customFormat="1" ht="12.75" customHeight="1" x14ac:dyDescent="0.25">
      <c r="A58" s="151"/>
      <c r="B58" s="152" t="s">
        <v>2</v>
      </c>
      <c r="C58" s="219"/>
      <c r="D58" s="153">
        <v>18382.24197158049</v>
      </c>
      <c r="E58" s="154" t="s">
        <v>508</v>
      </c>
      <c r="F58" s="153">
        <v>3982.0681918810401</v>
      </c>
      <c r="G58" s="154" t="s">
        <v>508</v>
      </c>
      <c r="H58" s="153">
        <v>5832</v>
      </c>
      <c r="I58" s="154" t="s">
        <v>508</v>
      </c>
      <c r="J58" s="153">
        <v>8568.1737796994494</v>
      </c>
      <c r="K58" s="154" t="s">
        <v>508</v>
      </c>
    </row>
    <row r="59" spans="1:11" s="142" customFormat="1" ht="12.75" customHeight="1" x14ac:dyDescent="0.25">
      <c r="A59" s="151"/>
      <c r="B59" s="152" t="s">
        <v>3</v>
      </c>
      <c r="C59" s="219"/>
      <c r="D59" s="153">
        <v>20333.068382996189</v>
      </c>
      <c r="E59" s="154" t="s">
        <v>508</v>
      </c>
      <c r="F59" s="153">
        <v>3902.7725014163898</v>
      </c>
      <c r="G59" s="154" t="s">
        <v>508</v>
      </c>
      <c r="H59" s="153">
        <v>5629</v>
      </c>
      <c r="I59" s="154" t="s">
        <v>508</v>
      </c>
      <c r="J59" s="153">
        <v>10801.295881579799</v>
      </c>
      <c r="K59" s="154" t="s">
        <v>508</v>
      </c>
    </row>
    <row r="60" spans="1:11" s="142" customFormat="1" ht="12.75" customHeight="1" x14ac:dyDescent="0.25">
      <c r="A60" s="151"/>
      <c r="B60" s="152" t="s">
        <v>4</v>
      </c>
      <c r="C60" s="219"/>
      <c r="D60" s="153">
        <v>20820.255725811592</v>
      </c>
      <c r="E60" s="154" t="s">
        <v>508</v>
      </c>
      <c r="F60" s="153">
        <v>3781.5394070560901</v>
      </c>
      <c r="G60" s="154" t="s">
        <v>508</v>
      </c>
      <c r="H60" s="153">
        <v>6501</v>
      </c>
      <c r="I60" s="154" t="s">
        <v>508</v>
      </c>
      <c r="J60" s="153">
        <v>10537.7163187555</v>
      </c>
      <c r="K60" s="154" t="s">
        <v>508</v>
      </c>
    </row>
    <row r="61" spans="1:11" s="142" customFormat="1" ht="12.75" customHeight="1" x14ac:dyDescent="0.25">
      <c r="A61" s="151"/>
      <c r="B61" s="152"/>
      <c r="C61" s="219"/>
      <c r="D61" s="153"/>
      <c r="E61" s="154"/>
      <c r="F61" s="153"/>
      <c r="G61" s="154"/>
      <c r="H61" s="153"/>
      <c r="I61" s="154"/>
      <c r="J61" s="153"/>
      <c r="K61" s="154"/>
    </row>
    <row r="62" spans="1:11" s="142" customFormat="1" ht="12.75" customHeight="1" x14ac:dyDescent="0.25">
      <c r="A62" s="151">
        <v>2016</v>
      </c>
      <c r="B62" s="152" t="s">
        <v>1</v>
      </c>
      <c r="C62" s="219"/>
      <c r="D62" s="153">
        <v>21206.308608797422</v>
      </c>
      <c r="E62" s="154" t="s">
        <v>280</v>
      </c>
      <c r="F62" s="153">
        <v>3733.5103732500202</v>
      </c>
      <c r="G62" s="154" t="s">
        <v>280</v>
      </c>
      <c r="H62" s="153">
        <v>6722</v>
      </c>
      <c r="I62" s="154" t="s">
        <v>508</v>
      </c>
      <c r="J62" s="153">
        <v>10750.7982355474</v>
      </c>
      <c r="K62" s="154" t="s">
        <v>280</v>
      </c>
    </row>
    <row r="63" spans="1:11" s="142" customFormat="1" ht="12.75" customHeight="1" x14ac:dyDescent="0.25">
      <c r="A63" s="151"/>
      <c r="B63" s="152" t="s">
        <v>2</v>
      </c>
      <c r="C63" s="219" t="s">
        <v>197</v>
      </c>
      <c r="D63" s="153">
        <v>22764.984165256552</v>
      </c>
      <c r="E63" s="154" t="s">
        <v>280</v>
      </c>
      <c r="F63" s="153">
        <v>3576.71635881675</v>
      </c>
      <c r="G63" s="154" t="s">
        <v>280</v>
      </c>
      <c r="H63" s="153">
        <v>6741</v>
      </c>
      <c r="I63" s="154" t="s">
        <v>508</v>
      </c>
      <c r="J63" s="153">
        <v>12447.267806439801</v>
      </c>
      <c r="K63" s="154" t="s">
        <v>280</v>
      </c>
    </row>
    <row r="64" spans="1:11" s="142" customFormat="1" ht="12.75" customHeight="1" x14ac:dyDescent="0.25">
      <c r="A64" s="151"/>
      <c r="B64" s="152" t="s">
        <v>3</v>
      </c>
      <c r="C64" s="219" t="s">
        <v>197</v>
      </c>
      <c r="D64" s="153">
        <v>23653.116491290089</v>
      </c>
      <c r="E64" s="154" t="s">
        <v>280</v>
      </c>
      <c r="F64" s="153">
        <v>3872.7151887776899</v>
      </c>
      <c r="G64" s="154" t="s">
        <v>280</v>
      </c>
      <c r="H64" s="153">
        <v>6490</v>
      </c>
      <c r="I64" s="154" t="s">
        <v>508</v>
      </c>
      <c r="J64" s="153">
        <v>13290.4013025124</v>
      </c>
      <c r="K64" s="154" t="s">
        <v>280</v>
      </c>
    </row>
    <row r="65" spans="1:27" s="142" customFormat="1" ht="12.75" customHeight="1" x14ac:dyDescent="0.25">
      <c r="A65" s="152"/>
      <c r="B65" s="152" t="s">
        <v>4</v>
      </c>
      <c r="C65" s="219" t="s">
        <v>197</v>
      </c>
      <c r="D65" s="153">
        <v>22994.590734655947</v>
      </c>
      <c r="E65" s="154" t="s">
        <v>280</v>
      </c>
      <c r="F65" s="153">
        <v>3823.0580791555499</v>
      </c>
      <c r="G65" s="154" t="s">
        <v>280</v>
      </c>
      <c r="H65" s="153">
        <v>6243</v>
      </c>
      <c r="I65" s="154" t="s">
        <v>508</v>
      </c>
      <c r="J65" s="153">
        <v>12928.532655500399</v>
      </c>
      <c r="K65" s="154" t="s">
        <v>280</v>
      </c>
    </row>
    <row r="66" spans="1:27" s="142" customFormat="1" ht="12.75" customHeight="1" x14ac:dyDescent="0.25">
      <c r="A66" s="151"/>
      <c r="B66" s="152"/>
      <c r="C66" s="219"/>
      <c r="D66" s="153"/>
      <c r="E66" s="154"/>
      <c r="F66" s="153"/>
      <c r="G66" s="154"/>
      <c r="H66" s="153"/>
      <c r="I66" s="154"/>
      <c r="J66" s="153"/>
      <c r="K66" s="154"/>
    </row>
    <row r="67" spans="1:27" s="142" customFormat="1" ht="12.75" customHeight="1" x14ac:dyDescent="0.25">
      <c r="A67" s="151">
        <v>2017</v>
      </c>
      <c r="B67" s="152" t="s">
        <v>1</v>
      </c>
      <c r="C67" s="219" t="s">
        <v>197</v>
      </c>
      <c r="D67" s="153">
        <v>24530.608710854722</v>
      </c>
      <c r="E67" s="154" t="s">
        <v>508</v>
      </c>
      <c r="F67" s="153">
        <v>3872.71540974352</v>
      </c>
      <c r="G67" s="154" t="s">
        <v>508</v>
      </c>
      <c r="H67" s="153">
        <v>6119</v>
      </c>
      <c r="I67" s="154" t="s">
        <v>508</v>
      </c>
      <c r="J67" s="153">
        <v>14538.8933011112</v>
      </c>
      <c r="K67" s="154" t="s">
        <v>508</v>
      </c>
      <c r="AA67" s="142" t="s">
        <v>508</v>
      </c>
    </row>
    <row r="68" spans="1:27" s="142" customFormat="1" ht="12.75" customHeight="1" thickBot="1" x14ac:dyDescent="0.3">
      <c r="A68" s="152"/>
      <c r="B68" s="156"/>
      <c r="C68" s="220"/>
      <c r="D68" s="153"/>
      <c r="E68" s="154"/>
      <c r="F68" s="153"/>
      <c r="G68" s="154"/>
      <c r="H68" s="153"/>
      <c r="I68" s="154"/>
      <c r="J68" s="153"/>
      <c r="K68" s="154"/>
    </row>
    <row r="69" spans="1:27" s="142" customFormat="1" ht="12.75" customHeight="1" x14ac:dyDescent="0.2">
      <c r="A69" s="159" t="s">
        <v>509</v>
      </c>
      <c r="B69" s="159"/>
      <c r="C69" s="221"/>
      <c r="D69" s="159"/>
      <c r="E69" s="221"/>
      <c r="F69" s="159"/>
      <c r="G69" s="221"/>
      <c r="H69" s="159"/>
      <c r="I69" s="221"/>
      <c r="J69" s="159"/>
      <c r="K69" s="221"/>
    </row>
    <row r="70" spans="1:27" s="142" customFormat="1" ht="12.75" customHeight="1" x14ac:dyDescent="0.2">
      <c r="A70" s="160"/>
      <c r="B70" s="160"/>
      <c r="C70" s="161"/>
      <c r="D70" s="160"/>
      <c r="E70" s="161"/>
      <c r="F70" s="160"/>
      <c r="G70" s="161"/>
      <c r="H70" s="160"/>
      <c r="I70" s="161"/>
      <c r="J70" s="160"/>
      <c r="K70" s="161"/>
    </row>
    <row r="71" spans="1:27" s="142" customFormat="1" ht="12.75" customHeight="1" x14ac:dyDescent="0.2">
      <c r="A71" s="162">
        <v>2016</v>
      </c>
      <c r="B71" s="163" t="s">
        <v>4</v>
      </c>
      <c r="C71" s="222"/>
      <c r="D71" s="164">
        <v>6.6799100445992687</v>
      </c>
      <c r="E71" s="161"/>
      <c r="F71" s="164">
        <v>1.2988903009011787</v>
      </c>
      <c r="G71" s="161"/>
      <c r="H71" s="164">
        <v>-1.986224571520101</v>
      </c>
      <c r="I71" s="161"/>
      <c r="J71" s="164">
        <v>12.455865553510282</v>
      </c>
      <c r="K71" s="161"/>
    </row>
    <row r="72" spans="1:27" s="142" customFormat="1" ht="12.75" customHeight="1" x14ac:dyDescent="0.2">
      <c r="A72" s="165"/>
      <c r="B72" s="166"/>
      <c r="C72" s="223"/>
      <c r="D72" s="167"/>
      <c r="E72" s="281"/>
      <c r="F72" s="167"/>
      <c r="G72" s="281"/>
      <c r="H72" s="167"/>
      <c r="I72" s="281"/>
      <c r="J72" s="167"/>
      <c r="K72" s="281"/>
    </row>
    <row r="73" spans="1:27" s="142" customFormat="1" ht="12.75" customHeight="1" thickBot="1" x14ac:dyDescent="0.25">
      <c r="A73" s="157">
        <v>2016</v>
      </c>
      <c r="B73" s="158" t="s">
        <v>1</v>
      </c>
      <c r="C73" s="224"/>
      <c r="D73" s="168">
        <v>15.675996060333741</v>
      </c>
      <c r="E73" s="282"/>
      <c r="F73" s="168">
        <v>3.7285295225340853</v>
      </c>
      <c r="G73" s="282"/>
      <c r="H73" s="168">
        <v>-8.9705444808092842</v>
      </c>
      <c r="I73" s="282"/>
      <c r="J73" s="168">
        <v>35.235477241480595</v>
      </c>
      <c r="K73" s="282"/>
    </row>
    <row r="74" spans="1:27" s="169" customFormat="1" ht="12.75" customHeight="1" x14ac:dyDescent="0.2">
      <c r="A74" s="342"/>
      <c r="B74" s="342"/>
      <c r="C74" s="342"/>
      <c r="D74" s="342"/>
      <c r="E74" s="342"/>
      <c r="F74" s="342"/>
      <c r="G74" s="342"/>
      <c r="H74" s="342"/>
      <c r="I74" s="342"/>
      <c r="J74" s="342"/>
      <c r="K74" s="342"/>
    </row>
    <row r="75" spans="1:27" s="169" customFormat="1" ht="48" customHeight="1" x14ac:dyDescent="0.2">
      <c r="A75" s="340" t="s">
        <v>492</v>
      </c>
      <c r="B75" s="340"/>
      <c r="C75" s="340"/>
      <c r="D75" s="340"/>
      <c r="E75" s="340"/>
      <c r="F75" s="340"/>
      <c r="G75" s="340"/>
      <c r="H75" s="340"/>
      <c r="I75" s="340"/>
      <c r="J75" s="340"/>
      <c r="K75" s="340"/>
    </row>
    <row r="76" spans="1:27" s="170" customFormat="1" ht="47.25" customHeight="1" x14ac:dyDescent="0.3">
      <c r="A76" s="340" t="s">
        <v>238</v>
      </c>
      <c r="B76" s="340"/>
      <c r="C76" s="340"/>
      <c r="D76" s="340"/>
      <c r="E76" s="340"/>
      <c r="F76" s="340"/>
      <c r="G76" s="340"/>
      <c r="H76" s="340"/>
      <c r="I76" s="340"/>
      <c r="J76" s="340"/>
      <c r="K76" s="340"/>
    </row>
    <row r="77" spans="1:27" s="171" customFormat="1" ht="15" x14ac:dyDescent="0.3">
      <c r="A77" s="340" t="s">
        <v>241</v>
      </c>
      <c r="B77" s="340"/>
      <c r="C77" s="340"/>
      <c r="D77" s="340"/>
      <c r="E77" s="340"/>
      <c r="F77" s="340"/>
      <c r="G77" s="340"/>
      <c r="H77" s="340"/>
      <c r="I77" s="340"/>
      <c r="J77" s="340"/>
      <c r="K77" s="340"/>
    </row>
    <row r="78" spans="1:27" s="171" customFormat="1" ht="27.75" customHeight="1" x14ac:dyDescent="0.3">
      <c r="A78" s="340" t="s">
        <v>399</v>
      </c>
      <c r="B78" s="340"/>
      <c r="C78" s="340"/>
      <c r="D78" s="340"/>
      <c r="E78" s="340"/>
      <c r="F78" s="340"/>
      <c r="G78" s="340"/>
      <c r="H78" s="340"/>
      <c r="I78" s="340"/>
      <c r="J78" s="340"/>
      <c r="K78" s="340"/>
      <c r="L78" s="280"/>
      <c r="M78" s="280"/>
      <c r="N78" s="280"/>
      <c r="O78" s="280"/>
    </row>
    <row r="79" spans="1:27" ht="12.75" customHeight="1" x14ac:dyDescent="0.3">
      <c r="A79" s="345"/>
      <c r="B79" s="345"/>
      <c r="C79" s="345"/>
      <c r="D79" s="345"/>
      <c r="E79" s="345"/>
      <c r="F79" s="345"/>
      <c r="G79" s="345"/>
      <c r="H79" s="345"/>
      <c r="I79" s="345"/>
      <c r="J79" s="345"/>
      <c r="K79" s="345"/>
    </row>
    <row r="80" spans="1:27" ht="12.75" customHeight="1" x14ac:dyDescent="0.3">
      <c r="A80" s="345"/>
      <c r="B80" s="345"/>
      <c r="C80" s="345"/>
      <c r="D80" s="345"/>
      <c r="E80" s="345"/>
      <c r="F80" s="345"/>
      <c r="G80" s="345"/>
      <c r="H80" s="345"/>
      <c r="I80" s="345"/>
      <c r="J80" s="345"/>
      <c r="K80" s="345"/>
    </row>
    <row r="81" spans="1:11" ht="12.75" customHeight="1" x14ac:dyDescent="0.3">
      <c r="A81" s="345"/>
      <c r="B81" s="345"/>
      <c r="C81" s="345"/>
      <c r="D81" s="345"/>
      <c r="E81" s="345"/>
      <c r="F81" s="345"/>
      <c r="G81" s="345"/>
      <c r="H81" s="345"/>
      <c r="I81" s="345"/>
      <c r="J81" s="345"/>
      <c r="K81" s="345"/>
    </row>
    <row r="82" spans="1:11" ht="12.75" customHeight="1" x14ac:dyDescent="0.3">
      <c r="A82" s="345"/>
      <c r="B82" s="345"/>
      <c r="C82" s="345"/>
      <c r="D82" s="345"/>
      <c r="E82" s="345"/>
      <c r="F82" s="345"/>
      <c r="G82" s="345"/>
      <c r="H82" s="345"/>
      <c r="I82" s="345"/>
      <c r="J82" s="345"/>
      <c r="K82" s="345"/>
    </row>
    <row r="83" spans="1:11" ht="12.75" customHeight="1" x14ac:dyDescent="0.3">
      <c r="A83" s="345"/>
      <c r="B83" s="345"/>
      <c r="C83" s="345"/>
      <c r="D83" s="345"/>
      <c r="E83" s="345"/>
      <c r="F83" s="345"/>
      <c r="G83" s="345"/>
      <c r="H83" s="345"/>
      <c r="I83" s="345"/>
      <c r="J83" s="345"/>
      <c r="K83" s="345"/>
    </row>
    <row r="84" spans="1:11" ht="12.75" customHeight="1" x14ac:dyDescent="0.3">
      <c r="A84" s="345"/>
      <c r="B84" s="345"/>
      <c r="C84" s="345"/>
      <c r="D84" s="345"/>
      <c r="E84" s="345"/>
      <c r="F84" s="345"/>
      <c r="G84" s="345"/>
      <c r="H84" s="345"/>
      <c r="I84" s="345"/>
      <c r="J84" s="345"/>
      <c r="K84" s="345"/>
    </row>
  </sheetData>
  <dataConsolidate/>
  <mergeCells count="16">
    <mergeCell ref="J4:K4"/>
    <mergeCell ref="A74:K74"/>
    <mergeCell ref="A75:K75"/>
    <mergeCell ref="A76:K76"/>
    <mergeCell ref="A77:K77"/>
    <mergeCell ref="A84:K84"/>
    <mergeCell ref="D5:E5"/>
    <mergeCell ref="F5:G5"/>
    <mergeCell ref="H5:I5"/>
    <mergeCell ref="J5:K5"/>
    <mergeCell ref="A78:K78"/>
    <mergeCell ref="A79:K79"/>
    <mergeCell ref="A80:K80"/>
    <mergeCell ref="A81:K81"/>
    <mergeCell ref="A82:K82"/>
    <mergeCell ref="A83:K83"/>
  </mergeCells>
  <hyperlinks>
    <hyperlink ref="A3" location="'Table Contents'!A1" display="Back to contents"/>
  </hyperlinks>
  <printOptions horizontalCentered="1" verticalCentered="1" gridLinesSet="0"/>
  <pageMargins left="0.19685039370078741" right="0.19685039370078741" top="0.19685039370078741" bottom="0.19685039370078741" header="0.39370078740157483" footer="0.39370078740157483"/>
  <pageSetup paperSize="9" scale="44"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AA84"/>
  <sheetViews>
    <sheetView showGridLines="0" zoomScaleNormal="100" workbookViewId="0">
      <pane xSplit="3" ySplit="5" topLeftCell="D6" activePane="bottomRight" state="frozen"/>
      <selection pane="topRight" activeCell="D1" sqref="D1"/>
      <selection pane="bottomLeft" activeCell="A6" sqref="A6"/>
      <selection pane="bottomRight" activeCell="D6" sqref="D6"/>
    </sheetView>
  </sheetViews>
  <sheetFormatPr defaultColWidth="8.85546875" defaultRowHeight="12.75" customHeight="1" x14ac:dyDescent="0.3"/>
  <cols>
    <col min="1" max="1" width="7.42578125" style="131" customWidth="1"/>
    <col min="2" max="2" width="4.85546875" style="131" customWidth="1"/>
    <col min="3" max="3" width="4.85546875" style="174" customWidth="1"/>
    <col min="4" max="4" width="12.85546875" style="172" customWidth="1"/>
    <col min="5" max="5" width="3.85546875" style="174" customWidth="1"/>
    <col min="6" max="6" width="12.85546875" style="172" customWidth="1"/>
    <col min="7" max="7" width="3.85546875" style="174" customWidth="1"/>
    <col min="8" max="8" width="12.85546875" style="172" customWidth="1"/>
    <col min="9" max="9" width="3.85546875" style="174" customWidth="1"/>
    <col min="10" max="10" width="12.85546875" style="173" customWidth="1"/>
    <col min="11" max="11" width="3.85546875" style="174" customWidth="1"/>
    <col min="12" max="16384" width="8.85546875" style="134"/>
  </cols>
  <sheetData>
    <row r="1" spans="1:16" ht="12.75" customHeight="1" x14ac:dyDescent="0.3">
      <c r="B1" s="132"/>
      <c r="C1" s="133"/>
      <c r="D1" s="132"/>
      <c r="E1" s="133"/>
      <c r="F1" s="132"/>
      <c r="G1" s="133"/>
      <c r="H1" s="132"/>
      <c r="I1" s="133"/>
      <c r="J1" s="132"/>
      <c r="K1" s="133"/>
    </row>
    <row r="2" spans="1:16" s="136" customFormat="1" ht="31.5" customHeight="1" x14ac:dyDescent="0.3">
      <c r="A2" s="193" t="s">
        <v>171</v>
      </c>
      <c r="B2" s="194"/>
      <c r="C2" s="194"/>
      <c r="D2" s="195" t="s">
        <v>170</v>
      </c>
      <c r="E2" s="133"/>
      <c r="F2" s="132"/>
      <c r="G2" s="133"/>
      <c r="H2" s="132"/>
      <c r="I2" s="133"/>
      <c r="J2" s="132"/>
      <c r="K2" s="133"/>
      <c r="L2" s="132"/>
      <c r="M2" s="132"/>
      <c r="N2" s="132"/>
    </row>
    <row r="3" spans="1:16" s="136" customFormat="1" ht="17.25" x14ac:dyDescent="0.3">
      <c r="A3" s="196" t="s">
        <v>154</v>
      </c>
      <c r="B3" s="197"/>
      <c r="C3" s="214"/>
      <c r="D3" s="198" t="s">
        <v>161</v>
      </c>
      <c r="E3" s="283"/>
      <c r="F3" s="188"/>
      <c r="G3" s="283"/>
      <c r="H3" s="188"/>
      <c r="I3" s="283"/>
      <c r="J3" s="188"/>
      <c r="K3" s="283"/>
      <c r="L3" s="132"/>
      <c r="M3" s="132"/>
      <c r="N3" s="132"/>
    </row>
    <row r="4" spans="1:16" ht="10.5" customHeight="1" thickBot="1" x14ac:dyDescent="0.35">
      <c r="A4" s="137"/>
      <c r="B4" s="137"/>
      <c r="C4" s="215"/>
      <c r="D4" s="137"/>
      <c r="E4" s="215"/>
      <c r="F4" s="137"/>
      <c r="G4" s="215"/>
      <c r="H4" s="137"/>
      <c r="I4" s="215"/>
      <c r="J4" s="337"/>
      <c r="K4" s="337"/>
    </row>
    <row r="5" spans="1:16" ht="30.75" customHeight="1" thickBot="1" x14ac:dyDescent="0.35">
      <c r="A5" s="231"/>
      <c r="B5" s="231"/>
      <c r="C5" s="232"/>
      <c r="D5" s="346" t="s">
        <v>123</v>
      </c>
      <c r="E5" s="346"/>
      <c r="F5" s="347" t="s">
        <v>237</v>
      </c>
      <c r="G5" s="347"/>
      <c r="H5" s="347" t="s">
        <v>239</v>
      </c>
      <c r="I5" s="347"/>
      <c r="J5" s="347" t="s">
        <v>240</v>
      </c>
      <c r="K5" s="347"/>
    </row>
    <row r="6" spans="1:16" s="146" customFormat="1" ht="12.75" customHeight="1" x14ac:dyDescent="0.25">
      <c r="A6" s="143">
        <v>2007</v>
      </c>
      <c r="B6" s="143"/>
      <c r="C6" s="213"/>
      <c r="D6" s="144">
        <v>106645</v>
      </c>
      <c r="E6" s="145" t="s">
        <v>508</v>
      </c>
      <c r="F6" s="144">
        <v>64480</v>
      </c>
      <c r="G6" s="145" t="s">
        <v>508</v>
      </c>
      <c r="H6" s="144" t="s">
        <v>207</v>
      </c>
      <c r="I6" s="145" t="s">
        <v>508</v>
      </c>
      <c r="J6" s="144">
        <v>42165</v>
      </c>
      <c r="K6" s="145" t="s">
        <v>508</v>
      </c>
    </row>
    <row r="7" spans="1:16" s="146" customFormat="1" ht="12.75" customHeight="1" x14ac:dyDescent="0.25">
      <c r="A7" s="143">
        <v>2008</v>
      </c>
      <c r="B7" s="143"/>
      <c r="C7" s="213"/>
      <c r="D7" s="144">
        <v>106544</v>
      </c>
      <c r="E7" s="145" t="s">
        <v>508</v>
      </c>
      <c r="F7" s="144">
        <v>67428</v>
      </c>
      <c r="G7" s="145" t="s">
        <v>508</v>
      </c>
      <c r="H7" s="144" t="s">
        <v>207</v>
      </c>
      <c r="I7" s="145" t="s">
        <v>508</v>
      </c>
      <c r="J7" s="144">
        <v>39116</v>
      </c>
      <c r="K7" s="145" t="s">
        <v>508</v>
      </c>
    </row>
    <row r="8" spans="1:16" s="146" customFormat="1" ht="12.75" customHeight="1" x14ac:dyDescent="0.25">
      <c r="A8" s="143">
        <v>2009</v>
      </c>
      <c r="B8" s="143"/>
      <c r="C8" s="213"/>
      <c r="D8" s="144">
        <v>134142</v>
      </c>
      <c r="E8" s="145" t="s">
        <v>508</v>
      </c>
      <c r="F8" s="144">
        <v>74670</v>
      </c>
      <c r="G8" s="145" t="s">
        <v>508</v>
      </c>
      <c r="H8" s="144">
        <v>11831</v>
      </c>
      <c r="I8" s="145" t="s">
        <v>508</v>
      </c>
      <c r="J8" s="144">
        <v>47641</v>
      </c>
      <c r="K8" s="145" t="s">
        <v>508</v>
      </c>
    </row>
    <row r="9" spans="1:16" s="146" customFormat="1" ht="12.75" customHeight="1" x14ac:dyDescent="0.25">
      <c r="A9" s="143">
        <v>2010</v>
      </c>
      <c r="B9" s="143"/>
      <c r="C9" s="213"/>
      <c r="D9" s="144">
        <v>135045</v>
      </c>
      <c r="E9" s="145" t="s">
        <v>508</v>
      </c>
      <c r="F9" s="144">
        <v>59173</v>
      </c>
      <c r="G9" s="145" t="s">
        <v>508</v>
      </c>
      <c r="H9" s="144">
        <v>25179</v>
      </c>
      <c r="I9" s="145" t="s">
        <v>508</v>
      </c>
      <c r="J9" s="144">
        <v>50693</v>
      </c>
      <c r="K9" s="145" t="s">
        <v>508</v>
      </c>
    </row>
    <row r="10" spans="1:16" s="146" customFormat="1" ht="12.75" customHeight="1" x14ac:dyDescent="0.25">
      <c r="A10" s="143">
        <v>2011</v>
      </c>
      <c r="B10" s="143"/>
      <c r="C10" s="213"/>
      <c r="D10" s="144">
        <v>119943</v>
      </c>
      <c r="E10" s="145" t="s">
        <v>508</v>
      </c>
      <c r="F10" s="144">
        <v>41876</v>
      </c>
      <c r="G10" s="145" t="s">
        <v>508</v>
      </c>
      <c r="H10" s="144">
        <v>29009</v>
      </c>
      <c r="I10" s="145" t="s">
        <v>508</v>
      </c>
      <c r="J10" s="144">
        <v>49058</v>
      </c>
      <c r="K10" s="145" t="s">
        <v>508</v>
      </c>
    </row>
    <row r="11" spans="1:16" s="146" customFormat="1" ht="12.75" customHeight="1" x14ac:dyDescent="0.25">
      <c r="A11" s="143">
        <v>2012</v>
      </c>
      <c r="B11" s="143"/>
      <c r="C11" s="213"/>
      <c r="D11" s="144">
        <v>109640</v>
      </c>
      <c r="E11" s="145" t="s">
        <v>508</v>
      </c>
      <c r="F11" s="144">
        <v>31787</v>
      </c>
      <c r="G11" s="145" t="s">
        <v>508</v>
      </c>
      <c r="H11" s="144">
        <v>31179</v>
      </c>
      <c r="I11" s="145" t="s">
        <v>508</v>
      </c>
      <c r="J11" s="144">
        <v>46674</v>
      </c>
      <c r="K11" s="145" t="s">
        <v>508</v>
      </c>
    </row>
    <row r="12" spans="1:16" s="146" customFormat="1" ht="12.75" customHeight="1" x14ac:dyDescent="0.25">
      <c r="A12" s="143">
        <v>2013</v>
      </c>
      <c r="B12" s="143"/>
      <c r="C12" s="213"/>
      <c r="D12" s="144">
        <v>100998</v>
      </c>
      <c r="E12" s="145" t="s">
        <v>508</v>
      </c>
      <c r="F12" s="144">
        <v>24571</v>
      </c>
      <c r="G12" s="145" t="s">
        <v>508</v>
      </c>
      <c r="H12" s="144">
        <v>27546</v>
      </c>
      <c r="I12" s="145" t="s">
        <v>508</v>
      </c>
      <c r="J12" s="144">
        <v>48881</v>
      </c>
      <c r="K12" s="145" t="s">
        <v>508</v>
      </c>
    </row>
    <row r="13" spans="1:16" s="146" customFormat="1" ht="12.75" customHeight="1" x14ac:dyDescent="0.25">
      <c r="A13" s="143">
        <v>2014</v>
      </c>
      <c r="B13" s="143"/>
      <c r="C13" s="213"/>
      <c r="D13" s="144">
        <v>99223</v>
      </c>
      <c r="E13" s="145" t="s">
        <v>508</v>
      </c>
      <c r="F13" s="144">
        <v>20345</v>
      </c>
      <c r="G13" s="145" t="s">
        <v>508</v>
      </c>
      <c r="H13" s="144">
        <v>26688</v>
      </c>
      <c r="I13" s="145" t="s">
        <v>508</v>
      </c>
      <c r="J13" s="144">
        <v>52190</v>
      </c>
      <c r="K13" s="145" t="s">
        <v>508</v>
      </c>
    </row>
    <row r="14" spans="1:16" s="146" customFormat="1" ht="12.75" customHeight="1" x14ac:dyDescent="0.25">
      <c r="A14" s="143">
        <v>2015</v>
      </c>
      <c r="B14" s="143"/>
      <c r="C14" s="213"/>
      <c r="D14" s="144">
        <v>80404</v>
      </c>
      <c r="E14" s="145" t="s">
        <v>508</v>
      </c>
      <c r="F14" s="144">
        <v>15845</v>
      </c>
      <c r="G14" s="145" t="s">
        <v>508</v>
      </c>
      <c r="H14" s="144">
        <v>24175</v>
      </c>
      <c r="I14" s="145" t="s">
        <v>508</v>
      </c>
      <c r="J14" s="144">
        <v>40384</v>
      </c>
      <c r="K14" s="145" t="s">
        <v>508</v>
      </c>
      <c r="P14" s="147"/>
    </row>
    <row r="15" spans="1:16" s="146" customFormat="1" ht="12.75" customHeight="1" x14ac:dyDescent="0.25">
      <c r="A15" s="143">
        <v>2016</v>
      </c>
      <c r="B15" s="213" t="s">
        <v>508</v>
      </c>
      <c r="C15" s="217"/>
      <c r="D15" s="144">
        <v>90619</v>
      </c>
      <c r="E15" s="145" t="s">
        <v>280</v>
      </c>
      <c r="F15" s="144">
        <v>15006</v>
      </c>
      <c r="G15" s="145" t="s">
        <v>280</v>
      </c>
      <c r="H15" s="144">
        <v>26196</v>
      </c>
      <c r="I15" s="145" t="s">
        <v>508</v>
      </c>
      <c r="J15" s="144">
        <v>49417</v>
      </c>
      <c r="K15" s="145" t="s">
        <v>280</v>
      </c>
    </row>
    <row r="16" spans="1:16" s="142" customFormat="1" ht="12.75" customHeight="1" x14ac:dyDescent="0.25">
      <c r="A16" s="148"/>
      <c r="B16" s="148"/>
      <c r="C16" s="218"/>
      <c r="D16" s="149"/>
      <c r="E16" s="154"/>
      <c r="F16" s="149"/>
      <c r="G16" s="154"/>
      <c r="H16" s="149"/>
      <c r="I16" s="154"/>
      <c r="J16" s="149"/>
      <c r="K16" s="154"/>
    </row>
    <row r="17" spans="1:11" s="142" customFormat="1" ht="12.75" customHeight="1" x14ac:dyDescent="0.25">
      <c r="A17" s="151">
        <v>2007</v>
      </c>
      <c r="B17" s="152" t="s">
        <v>1</v>
      </c>
      <c r="C17" s="219"/>
      <c r="D17" s="153">
        <v>29236</v>
      </c>
      <c r="E17" s="154" t="s">
        <v>508</v>
      </c>
      <c r="F17" s="153">
        <v>17937</v>
      </c>
      <c r="G17" s="154" t="s">
        <v>508</v>
      </c>
      <c r="H17" s="153" t="s">
        <v>207</v>
      </c>
      <c r="I17" s="154" t="s">
        <v>508</v>
      </c>
      <c r="J17" s="153">
        <v>11299</v>
      </c>
      <c r="K17" s="154" t="s">
        <v>508</v>
      </c>
    </row>
    <row r="18" spans="1:11" s="142" customFormat="1" ht="12.75" customHeight="1" x14ac:dyDescent="0.25">
      <c r="A18" s="151"/>
      <c r="B18" s="152" t="s">
        <v>2</v>
      </c>
      <c r="C18" s="219"/>
      <c r="D18" s="153">
        <v>27327</v>
      </c>
      <c r="E18" s="154" t="s">
        <v>508</v>
      </c>
      <c r="F18" s="153">
        <v>16489</v>
      </c>
      <c r="G18" s="154" t="s">
        <v>508</v>
      </c>
      <c r="H18" s="153" t="s">
        <v>207</v>
      </c>
      <c r="I18" s="154" t="s">
        <v>508</v>
      </c>
      <c r="J18" s="153">
        <v>10838</v>
      </c>
      <c r="K18" s="154" t="s">
        <v>508</v>
      </c>
    </row>
    <row r="19" spans="1:11" s="142" customFormat="1" ht="12.75" customHeight="1" x14ac:dyDescent="0.25">
      <c r="A19" s="151"/>
      <c r="B19" s="152" t="s">
        <v>3</v>
      </c>
      <c r="C19" s="219"/>
      <c r="D19" s="153">
        <v>26252</v>
      </c>
      <c r="E19" s="154" t="s">
        <v>508</v>
      </c>
      <c r="F19" s="153">
        <v>15600</v>
      </c>
      <c r="G19" s="154" t="s">
        <v>508</v>
      </c>
      <c r="H19" s="153" t="s">
        <v>207</v>
      </c>
      <c r="I19" s="154" t="s">
        <v>508</v>
      </c>
      <c r="J19" s="153">
        <v>10652</v>
      </c>
      <c r="K19" s="154" t="s">
        <v>508</v>
      </c>
    </row>
    <row r="20" spans="1:11" s="142" customFormat="1" ht="12.75" customHeight="1" x14ac:dyDescent="0.25">
      <c r="A20" s="151"/>
      <c r="B20" s="152" t="s">
        <v>4</v>
      </c>
      <c r="C20" s="219"/>
      <c r="D20" s="153">
        <v>23830</v>
      </c>
      <c r="E20" s="154" t="s">
        <v>508</v>
      </c>
      <c r="F20" s="153">
        <v>14454</v>
      </c>
      <c r="G20" s="154" t="s">
        <v>508</v>
      </c>
      <c r="H20" s="153" t="s">
        <v>207</v>
      </c>
      <c r="I20" s="154" t="s">
        <v>508</v>
      </c>
      <c r="J20" s="153">
        <v>9376</v>
      </c>
      <c r="K20" s="154" t="s">
        <v>508</v>
      </c>
    </row>
    <row r="21" spans="1:11" s="142" customFormat="1" ht="12.75" customHeight="1" x14ac:dyDescent="0.25">
      <c r="A21" s="151"/>
      <c r="B21" s="152"/>
      <c r="C21" s="219"/>
      <c r="D21" s="153"/>
      <c r="E21" s="154"/>
      <c r="F21" s="153"/>
      <c r="G21" s="154"/>
      <c r="H21" s="153"/>
      <c r="I21" s="154"/>
      <c r="J21" s="153"/>
      <c r="K21" s="154"/>
    </row>
    <row r="22" spans="1:11" s="142" customFormat="1" ht="12.75" customHeight="1" x14ac:dyDescent="0.25">
      <c r="A22" s="151">
        <v>2008</v>
      </c>
      <c r="B22" s="152" t="s">
        <v>1</v>
      </c>
      <c r="C22" s="219"/>
      <c r="D22" s="153">
        <v>24619</v>
      </c>
      <c r="E22" s="154" t="s">
        <v>508</v>
      </c>
      <c r="F22" s="153">
        <v>15814</v>
      </c>
      <c r="G22" s="154" t="s">
        <v>508</v>
      </c>
      <c r="H22" s="153" t="s">
        <v>207</v>
      </c>
      <c r="I22" s="154" t="s">
        <v>508</v>
      </c>
      <c r="J22" s="153">
        <v>8805</v>
      </c>
      <c r="K22" s="154" t="s">
        <v>508</v>
      </c>
    </row>
    <row r="23" spans="1:11" s="142" customFormat="1" ht="12.75" customHeight="1" x14ac:dyDescent="0.25">
      <c r="A23" s="151"/>
      <c r="B23" s="152" t="s">
        <v>2</v>
      </c>
      <c r="C23" s="219"/>
      <c r="D23" s="153">
        <v>25966</v>
      </c>
      <c r="E23" s="154" t="s">
        <v>508</v>
      </c>
      <c r="F23" s="153">
        <v>16373</v>
      </c>
      <c r="G23" s="154" t="s">
        <v>508</v>
      </c>
      <c r="H23" s="153" t="s">
        <v>207</v>
      </c>
      <c r="I23" s="154" t="s">
        <v>508</v>
      </c>
      <c r="J23" s="153">
        <v>9593</v>
      </c>
      <c r="K23" s="154" t="s">
        <v>508</v>
      </c>
    </row>
    <row r="24" spans="1:11" s="142" customFormat="1" ht="12.75" customHeight="1" x14ac:dyDescent="0.25">
      <c r="A24" s="151"/>
      <c r="B24" s="152" t="s">
        <v>3</v>
      </c>
      <c r="C24" s="219"/>
      <c r="D24" s="153">
        <v>27488</v>
      </c>
      <c r="E24" s="154" t="s">
        <v>508</v>
      </c>
      <c r="F24" s="153">
        <v>17237</v>
      </c>
      <c r="G24" s="154" t="s">
        <v>508</v>
      </c>
      <c r="H24" s="153" t="s">
        <v>207</v>
      </c>
      <c r="I24" s="154" t="s">
        <v>508</v>
      </c>
      <c r="J24" s="153">
        <v>10251</v>
      </c>
      <c r="K24" s="154" t="s">
        <v>508</v>
      </c>
    </row>
    <row r="25" spans="1:11" s="142" customFormat="1" ht="12.75" customHeight="1" x14ac:dyDescent="0.25">
      <c r="A25" s="151"/>
      <c r="B25" s="152" t="s">
        <v>4</v>
      </c>
      <c r="C25" s="219"/>
      <c r="D25" s="153">
        <v>28471</v>
      </c>
      <c r="E25" s="154" t="s">
        <v>508</v>
      </c>
      <c r="F25" s="153">
        <v>18004</v>
      </c>
      <c r="G25" s="154" t="s">
        <v>508</v>
      </c>
      <c r="H25" s="153" t="s">
        <v>207</v>
      </c>
      <c r="I25" s="154" t="s">
        <v>508</v>
      </c>
      <c r="J25" s="153">
        <v>10467</v>
      </c>
      <c r="K25" s="154" t="s">
        <v>508</v>
      </c>
    </row>
    <row r="26" spans="1:11" s="142" customFormat="1" ht="12.75" customHeight="1" x14ac:dyDescent="0.25">
      <c r="A26" s="151"/>
      <c r="B26" s="152"/>
      <c r="C26" s="219"/>
      <c r="D26" s="153"/>
      <c r="E26" s="154"/>
      <c r="F26" s="153"/>
      <c r="G26" s="154"/>
      <c r="H26" s="153"/>
      <c r="I26" s="154"/>
      <c r="J26" s="153"/>
      <c r="K26" s="154"/>
    </row>
    <row r="27" spans="1:11" s="142" customFormat="1" ht="12.75" customHeight="1" x14ac:dyDescent="0.25">
      <c r="A27" s="151">
        <v>2009</v>
      </c>
      <c r="B27" s="152" t="s">
        <v>1</v>
      </c>
      <c r="C27" s="219"/>
      <c r="D27" s="153">
        <v>30253</v>
      </c>
      <c r="E27" s="154" t="s">
        <v>508</v>
      </c>
      <c r="F27" s="153">
        <v>20446</v>
      </c>
      <c r="G27" s="154" t="s">
        <v>508</v>
      </c>
      <c r="H27" s="153" t="s">
        <v>207</v>
      </c>
      <c r="I27" s="154" t="s">
        <v>508</v>
      </c>
      <c r="J27" s="153">
        <v>9807</v>
      </c>
      <c r="K27" s="154" t="s">
        <v>508</v>
      </c>
    </row>
    <row r="28" spans="1:11" s="142" customFormat="1" ht="12.75" customHeight="1" x14ac:dyDescent="0.25">
      <c r="A28" s="151"/>
      <c r="B28" s="152" t="s">
        <v>2</v>
      </c>
      <c r="C28" s="219"/>
      <c r="D28" s="153">
        <v>33073</v>
      </c>
      <c r="E28" s="154" t="s">
        <v>508</v>
      </c>
      <c r="F28" s="153">
        <v>18870</v>
      </c>
      <c r="G28" s="154" t="s">
        <v>508</v>
      </c>
      <c r="H28" s="153">
        <v>1978</v>
      </c>
      <c r="I28" s="154" t="s">
        <v>508</v>
      </c>
      <c r="J28" s="153">
        <v>12225</v>
      </c>
      <c r="K28" s="154" t="s">
        <v>508</v>
      </c>
    </row>
    <row r="29" spans="1:11" s="142" customFormat="1" ht="12.75" customHeight="1" x14ac:dyDescent="0.25">
      <c r="A29" s="151"/>
      <c r="B29" s="152" t="s">
        <v>3</v>
      </c>
      <c r="C29" s="219"/>
      <c r="D29" s="153">
        <v>35242</v>
      </c>
      <c r="E29" s="154" t="s">
        <v>508</v>
      </c>
      <c r="F29" s="153">
        <v>18347</v>
      </c>
      <c r="G29" s="154" t="s">
        <v>508</v>
      </c>
      <c r="H29" s="153">
        <v>4505</v>
      </c>
      <c r="I29" s="154" t="s">
        <v>508</v>
      </c>
      <c r="J29" s="153">
        <v>12390</v>
      </c>
      <c r="K29" s="154" t="s">
        <v>508</v>
      </c>
    </row>
    <row r="30" spans="1:11" s="142" customFormat="1" ht="12.75" customHeight="1" x14ac:dyDescent="0.25">
      <c r="A30" s="151"/>
      <c r="B30" s="152" t="s">
        <v>4</v>
      </c>
      <c r="C30" s="219"/>
      <c r="D30" s="153">
        <v>35574</v>
      </c>
      <c r="E30" s="154" t="s">
        <v>508</v>
      </c>
      <c r="F30" s="153">
        <v>17007</v>
      </c>
      <c r="G30" s="154" t="s">
        <v>508</v>
      </c>
      <c r="H30" s="153">
        <v>5348</v>
      </c>
      <c r="I30" s="154" t="s">
        <v>508</v>
      </c>
      <c r="J30" s="153">
        <v>13219</v>
      </c>
      <c r="K30" s="154" t="s">
        <v>508</v>
      </c>
    </row>
    <row r="31" spans="1:11" s="142" customFormat="1" ht="12.75" customHeight="1" x14ac:dyDescent="0.25">
      <c r="A31" s="151"/>
      <c r="B31" s="152"/>
      <c r="C31" s="219"/>
      <c r="D31" s="153"/>
      <c r="E31" s="154"/>
      <c r="F31" s="153"/>
      <c r="G31" s="154"/>
      <c r="H31" s="153"/>
      <c r="I31" s="154"/>
      <c r="J31" s="153"/>
      <c r="K31" s="154"/>
    </row>
    <row r="32" spans="1:11" s="142" customFormat="1" ht="12.75" customHeight="1" x14ac:dyDescent="0.25">
      <c r="A32" s="151">
        <v>2010</v>
      </c>
      <c r="B32" s="152" t="s">
        <v>1</v>
      </c>
      <c r="C32" s="219"/>
      <c r="D32" s="153">
        <v>35682</v>
      </c>
      <c r="E32" s="154" t="s">
        <v>508</v>
      </c>
      <c r="F32" s="153">
        <v>18256</v>
      </c>
      <c r="G32" s="154" t="s">
        <v>508</v>
      </c>
      <c r="H32" s="153">
        <v>5644</v>
      </c>
      <c r="I32" s="154" t="s">
        <v>508</v>
      </c>
      <c r="J32" s="153">
        <v>11782</v>
      </c>
      <c r="K32" s="154" t="s">
        <v>508</v>
      </c>
    </row>
    <row r="33" spans="1:11" s="142" customFormat="1" ht="12.75" customHeight="1" x14ac:dyDescent="0.25">
      <c r="A33" s="151"/>
      <c r="B33" s="152" t="s">
        <v>2</v>
      </c>
      <c r="C33" s="219"/>
      <c r="D33" s="153">
        <v>34743</v>
      </c>
      <c r="E33" s="154" t="s">
        <v>508</v>
      </c>
      <c r="F33" s="153">
        <v>14982</v>
      </c>
      <c r="G33" s="154" t="s">
        <v>508</v>
      </c>
      <c r="H33" s="153">
        <v>6295</v>
      </c>
      <c r="I33" s="154" t="s">
        <v>508</v>
      </c>
      <c r="J33" s="153">
        <v>13466</v>
      </c>
      <c r="K33" s="154" t="s">
        <v>508</v>
      </c>
    </row>
    <row r="34" spans="1:11" s="142" customFormat="1" ht="12.75" customHeight="1" x14ac:dyDescent="0.25">
      <c r="A34" s="151"/>
      <c r="B34" s="152" t="s">
        <v>3</v>
      </c>
      <c r="C34" s="219"/>
      <c r="D34" s="153">
        <v>33935</v>
      </c>
      <c r="E34" s="154" t="s">
        <v>508</v>
      </c>
      <c r="F34" s="153">
        <v>13907</v>
      </c>
      <c r="G34" s="154" t="s">
        <v>508</v>
      </c>
      <c r="H34" s="153">
        <v>7068</v>
      </c>
      <c r="I34" s="154" t="s">
        <v>508</v>
      </c>
      <c r="J34" s="153">
        <v>12960</v>
      </c>
      <c r="K34" s="154" t="s">
        <v>508</v>
      </c>
    </row>
    <row r="35" spans="1:11" s="142" customFormat="1" ht="12.75" customHeight="1" x14ac:dyDescent="0.25">
      <c r="A35" s="151"/>
      <c r="B35" s="152" t="s">
        <v>4</v>
      </c>
      <c r="C35" s="219"/>
      <c r="D35" s="153">
        <v>30685</v>
      </c>
      <c r="E35" s="154" t="s">
        <v>508</v>
      </c>
      <c r="F35" s="153">
        <v>12028</v>
      </c>
      <c r="G35" s="154" t="s">
        <v>508</v>
      </c>
      <c r="H35" s="153">
        <v>6172</v>
      </c>
      <c r="I35" s="154" t="s">
        <v>508</v>
      </c>
      <c r="J35" s="153">
        <v>12485</v>
      </c>
      <c r="K35" s="154" t="s">
        <v>508</v>
      </c>
    </row>
    <row r="36" spans="1:11" s="142" customFormat="1" ht="12.75" customHeight="1" x14ac:dyDescent="0.25">
      <c r="A36" s="151"/>
      <c r="B36" s="152"/>
      <c r="C36" s="219"/>
      <c r="D36" s="153"/>
      <c r="E36" s="154"/>
      <c r="F36" s="153"/>
      <c r="G36" s="154"/>
      <c r="H36" s="153"/>
      <c r="I36" s="154"/>
      <c r="J36" s="153"/>
      <c r="K36" s="154"/>
    </row>
    <row r="37" spans="1:11" s="142" customFormat="1" ht="12.75" customHeight="1" x14ac:dyDescent="0.25">
      <c r="A37" s="151">
        <v>2011</v>
      </c>
      <c r="B37" s="152" t="s">
        <v>1</v>
      </c>
      <c r="C37" s="219"/>
      <c r="D37" s="153">
        <v>30145</v>
      </c>
      <c r="E37" s="154" t="s">
        <v>508</v>
      </c>
      <c r="F37" s="153">
        <v>12539</v>
      </c>
      <c r="G37" s="154" t="s">
        <v>508</v>
      </c>
      <c r="H37" s="153">
        <v>6788</v>
      </c>
      <c r="I37" s="154" t="s">
        <v>508</v>
      </c>
      <c r="J37" s="153">
        <v>10818</v>
      </c>
      <c r="K37" s="154" t="s">
        <v>508</v>
      </c>
    </row>
    <row r="38" spans="1:11" s="142" customFormat="1" ht="12.75" customHeight="1" x14ac:dyDescent="0.25">
      <c r="A38" s="151"/>
      <c r="B38" s="152" t="s">
        <v>2</v>
      </c>
      <c r="C38" s="219"/>
      <c r="D38" s="153">
        <v>30501</v>
      </c>
      <c r="E38" s="154" t="s">
        <v>508</v>
      </c>
      <c r="F38" s="153">
        <v>11101</v>
      </c>
      <c r="G38" s="154" t="s">
        <v>508</v>
      </c>
      <c r="H38" s="153">
        <v>7258</v>
      </c>
      <c r="I38" s="154" t="s">
        <v>508</v>
      </c>
      <c r="J38" s="153">
        <v>12142</v>
      </c>
      <c r="K38" s="154" t="s">
        <v>508</v>
      </c>
    </row>
    <row r="39" spans="1:11" s="142" customFormat="1" ht="12.75" customHeight="1" x14ac:dyDescent="0.25">
      <c r="A39" s="151"/>
      <c r="B39" s="152" t="s">
        <v>3</v>
      </c>
      <c r="C39" s="219"/>
      <c r="D39" s="153">
        <v>30233</v>
      </c>
      <c r="E39" s="154" t="s">
        <v>508</v>
      </c>
      <c r="F39" s="153">
        <v>9578</v>
      </c>
      <c r="G39" s="154" t="s">
        <v>508</v>
      </c>
      <c r="H39" s="153">
        <v>7604</v>
      </c>
      <c r="I39" s="154" t="s">
        <v>508</v>
      </c>
      <c r="J39" s="153">
        <v>13051</v>
      </c>
      <c r="K39" s="154" t="s">
        <v>508</v>
      </c>
    </row>
    <row r="40" spans="1:11" s="142" customFormat="1" ht="12.75" customHeight="1" x14ac:dyDescent="0.25">
      <c r="A40" s="151"/>
      <c r="B40" s="152" t="s">
        <v>4</v>
      </c>
      <c r="C40" s="219"/>
      <c r="D40" s="153">
        <v>29064</v>
      </c>
      <c r="E40" s="154" t="s">
        <v>508</v>
      </c>
      <c r="F40" s="153">
        <v>8658</v>
      </c>
      <c r="G40" s="154" t="s">
        <v>508</v>
      </c>
      <c r="H40" s="153">
        <v>7359</v>
      </c>
      <c r="I40" s="154" t="s">
        <v>508</v>
      </c>
      <c r="J40" s="153">
        <v>13047</v>
      </c>
      <c r="K40" s="154" t="s">
        <v>508</v>
      </c>
    </row>
    <row r="41" spans="1:11" s="142" customFormat="1" ht="12.75" customHeight="1" x14ac:dyDescent="0.25">
      <c r="A41" s="151"/>
      <c r="B41" s="152"/>
      <c r="C41" s="219"/>
      <c r="D41" s="153"/>
      <c r="E41" s="154"/>
      <c r="F41" s="153"/>
      <c r="G41" s="154"/>
      <c r="H41" s="153"/>
      <c r="I41" s="154"/>
      <c r="J41" s="153"/>
      <c r="K41" s="154"/>
    </row>
    <row r="42" spans="1:11" s="142" customFormat="1" ht="12.75" customHeight="1" x14ac:dyDescent="0.25">
      <c r="A42" s="151">
        <v>2012</v>
      </c>
      <c r="B42" s="152" t="s">
        <v>1</v>
      </c>
      <c r="C42" s="219"/>
      <c r="D42" s="153">
        <v>28723</v>
      </c>
      <c r="E42" s="154" t="s">
        <v>508</v>
      </c>
      <c r="F42" s="153">
        <v>9132</v>
      </c>
      <c r="G42" s="154" t="s">
        <v>508</v>
      </c>
      <c r="H42" s="153">
        <v>7897</v>
      </c>
      <c r="I42" s="154" t="s">
        <v>508</v>
      </c>
      <c r="J42" s="153">
        <v>11694</v>
      </c>
      <c r="K42" s="154" t="s">
        <v>508</v>
      </c>
    </row>
    <row r="43" spans="1:11" s="142" customFormat="1" ht="12.75" customHeight="1" x14ac:dyDescent="0.25">
      <c r="A43" s="151"/>
      <c r="B43" s="152" t="s">
        <v>2</v>
      </c>
      <c r="C43" s="219"/>
      <c r="D43" s="153">
        <v>27394</v>
      </c>
      <c r="E43" s="154" t="s">
        <v>508</v>
      </c>
      <c r="F43" s="153">
        <v>8092</v>
      </c>
      <c r="G43" s="154" t="s">
        <v>508</v>
      </c>
      <c r="H43" s="153">
        <v>7956</v>
      </c>
      <c r="I43" s="154" t="s">
        <v>508</v>
      </c>
      <c r="J43" s="153">
        <v>11346</v>
      </c>
      <c r="K43" s="154" t="s">
        <v>508</v>
      </c>
    </row>
    <row r="44" spans="1:11" s="142" customFormat="1" ht="12.75" customHeight="1" x14ac:dyDescent="0.25">
      <c r="A44" s="151"/>
      <c r="B44" s="152" t="s">
        <v>3</v>
      </c>
      <c r="C44" s="219"/>
      <c r="D44" s="153">
        <v>28072</v>
      </c>
      <c r="E44" s="154" t="s">
        <v>508</v>
      </c>
      <c r="F44" s="153">
        <v>7642</v>
      </c>
      <c r="G44" s="154" t="s">
        <v>508</v>
      </c>
      <c r="H44" s="153">
        <v>7777</v>
      </c>
      <c r="I44" s="154" t="s">
        <v>508</v>
      </c>
      <c r="J44" s="153">
        <v>12653</v>
      </c>
      <c r="K44" s="154" t="s">
        <v>508</v>
      </c>
    </row>
    <row r="45" spans="1:11" s="142" customFormat="1" ht="12.75" customHeight="1" x14ac:dyDescent="0.25">
      <c r="A45" s="151"/>
      <c r="B45" s="152" t="s">
        <v>4</v>
      </c>
      <c r="C45" s="219"/>
      <c r="D45" s="153">
        <v>25451</v>
      </c>
      <c r="E45" s="154" t="s">
        <v>508</v>
      </c>
      <c r="F45" s="153">
        <v>6921</v>
      </c>
      <c r="G45" s="154" t="s">
        <v>508</v>
      </c>
      <c r="H45" s="153">
        <v>7549</v>
      </c>
      <c r="I45" s="154" t="s">
        <v>508</v>
      </c>
      <c r="J45" s="153">
        <v>10981</v>
      </c>
      <c r="K45" s="154" t="s">
        <v>508</v>
      </c>
    </row>
    <row r="46" spans="1:11" s="142" customFormat="1" ht="12.75" customHeight="1" x14ac:dyDescent="0.25">
      <c r="A46" s="151"/>
      <c r="B46" s="152"/>
      <c r="C46" s="219"/>
      <c r="D46" s="153"/>
      <c r="E46" s="154"/>
      <c r="F46" s="153"/>
      <c r="G46" s="154"/>
      <c r="H46" s="153"/>
      <c r="I46" s="154"/>
      <c r="J46" s="153"/>
      <c r="K46" s="154"/>
    </row>
    <row r="47" spans="1:11" s="142" customFormat="1" ht="12.75" customHeight="1" x14ac:dyDescent="0.25">
      <c r="A47" s="151">
        <v>2013</v>
      </c>
      <c r="B47" s="152" t="s">
        <v>1</v>
      </c>
      <c r="C47" s="219"/>
      <c r="D47" s="153">
        <v>25018</v>
      </c>
      <c r="E47" s="154" t="s">
        <v>508</v>
      </c>
      <c r="F47" s="153">
        <v>6673</v>
      </c>
      <c r="G47" s="154" t="s">
        <v>508</v>
      </c>
      <c r="H47" s="153">
        <v>7219</v>
      </c>
      <c r="I47" s="154" t="s">
        <v>508</v>
      </c>
      <c r="J47" s="153">
        <v>11126</v>
      </c>
      <c r="K47" s="154" t="s">
        <v>508</v>
      </c>
    </row>
    <row r="48" spans="1:11" s="142" customFormat="1" ht="12.75" customHeight="1" x14ac:dyDescent="0.25">
      <c r="A48" s="151"/>
      <c r="B48" s="152" t="s">
        <v>2</v>
      </c>
      <c r="C48" s="219"/>
      <c r="D48" s="153">
        <v>25720</v>
      </c>
      <c r="E48" s="154" t="s">
        <v>508</v>
      </c>
      <c r="F48" s="153">
        <v>6480</v>
      </c>
      <c r="G48" s="154" t="s">
        <v>508</v>
      </c>
      <c r="H48" s="153">
        <v>7132</v>
      </c>
      <c r="I48" s="154" t="s">
        <v>508</v>
      </c>
      <c r="J48" s="153">
        <v>12108</v>
      </c>
      <c r="K48" s="154" t="s">
        <v>508</v>
      </c>
    </row>
    <row r="49" spans="1:11" s="142" customFormat="1" ht="12.75" customHeight="1" x14ac:dyDescent="0.25">
      <c r="A49" s="151"/>
      <c r="B49" s="152" t="s">
        <v>3</v>
      </c>
      <c r="C49" s="219"/>
      <c r="D49" s="153">
        <v>26032</v>
      </c>
      <c r="E49" s="154" t="s">
        <v>508</v>
      </c>
      <c r="F49" s="153">
        <v>6009</v>
      </c>
      <c r="G49" s="154" t="s">
        <v>508</v>
      </c>
      <c r="H49" s="153">
        <v>6632</v>
      </c>
      <c r="I49" s="154" t="s">
        <v>508</v>
      </c>
      <c r="J49" s="153">
        <v>13391</v>
      </c>
      <c r="K49" s="154" t="s">
        <v>508</v>
      </c>
    </row>
    <row r="50" spans="1:11" s="142" customFormat="1" ht="12.75" customHeight="1" x14ac:dyDescent="0.25">
      <c r="A50" s="151"/>
      <c r="B50" s="152" t="s">
        <v>4</v>
      </c>
      <c r="C50" s="219"/>
      <c r="D50" s="153">
        <v>24228</v>
      </c>
      <c r="E50" s="154" t="s">
        <v>508</v>
      </c>
      <c r="F50" s="153">
        <v>5409</v>
      </c>
      <c r="G50" s="154" t="s">
        <v>508</v>
      </c>
      <c r="H50" s="153">
        <v>6563</v>
      </c>
      <c r="I50" s="154" t="s">
        <v>508</v>
      </c>
      <c r="J50" s="153">
        <v>12256</v>
      </c>
      <c r="K50" s="154" t="s">
        <v>508</v>
      </c>
    </row>
    <row r="51" spans="1:11" s="142" customFormat="1" ht="12.75" customHeight="1" x14ac:dyDescent="0.25">
      <c r="A51" s="151"/>
      <c r="B51" s="152"/>
      <c r="C51" s="219"/>
      <c r="D51" s="153"/>
      <c r="E51" s="154"/>
      <c r="F51" s="153"/>
      <c r="G51" s="154"/>
      <c r="H51" s="153"/>
      <c r="I51" s="154"/>
      <c r="J51" s="153"/>
      <c r="K51" s="154"/>
    </row>
    <row r="52" spans="1:11" s="142" customFormat="1" ht="12.75" customHeight="1" x14ac:dyDescent="0.25">
      <c r="A52" s="151">
        <v>2014</v>
      </c>
      <c r="B52" s="152" t="s">
        <v>1</v>
      </c>
      <c r="C52" s="219"/>
      <c r="D52" s="153">
        <v>24944</v>
      </c>
      <c r="E52" s="154" t="s">
        <v>508</v>
      </c>
      <c r="F52" s="153">
        <v>5681</v>
      </c>
      <c r="G52" s="154" t="s">
        <v>508</v>
      </c>
      <c r="H52" s="153">
        <v>6549</v>
      </c>
      <c r="I52" s="154" t="s">
        <v>508</v>
      </c>
      <c r="J52" s="153">
        <v>12714</v>
      </c>
      <c r="K52" s="154" t="s">
        <v>508</v>
      </c>
    </row>
    <row r="53" spans="1:11" s="142" customFormat="1" ht="12.75" customHeight="1" x14ac:dyDescent="0.25">
      <c r="A53" s="151"/>
      <c r="B53" s="152" t="s">
        <v>2</v>
      </c>
      <c r="C53" s="219"/>
      <c r="D53" s="153">
        <v>26973</v>
      </c>
      <c r="E53" s="154" t="s">
        <v>508</v>
      </c>
      <c r="F53" s="153">
        <v>5475</v>
      </c>
      <c r="G53" s="154" t="s">
        <v>508</v>
      </c>
      <c r="H53" s="153">
        <v>7006</v>
      </c>
      <c r="I53" s="154" t="s">
        <v>508</v>
      </c>
      <c r="J53" s="153">
        <v>14492</v>
      </c>
      <c r="K53" s="154" t="s">
        <v>508</v>
      </c>
    </row>
    <row r="54" spans="1:11" s="142" customFormat="1" ht="12.75" customHeight="1" x14ac:dyDescent="0.25">
      <c r="A54" s="151"/>
      <c r="B54" s="152" t="s">
        <v>3</v>
      </c>
      <c r="C54" s="219"/>
      <c r="D54" s="153">
        <v>24858</v>
      </c>
      <c r="E54" s="154" t="s">
        <v>508</v>
      </c>
      <c r="F54" s="153">
        <v>4907</v>
      </c>
      <c r="G54" s="154" t="s">
        <v>508</v>
      </c>
      <c r="H54" s="153">
        <v>6808</v>
      </c>
      <c r="I54" s="154" t="s">
        <v>508</v>
      </c>
      <c r="J54" s="153">
        <v>13143</v>
      </c>
      <c r="K54" s="154" t="s">
        <v>508</v>
      </c>
    </row>
    <row r="55" spans="1:11" s="142" customFormat="1" ht="12.75" customHeight="1" x14ac:dyDescent="0.25">
      <c r="A55" s="151"/>
      <c r="B55" s="152" t="s">
        <v>4</v>
      </c>
      <c r="C55" s="219"/>
      <c r="D55" s="153">
        <v>22448</v>
      </c>
      <c r="E55" s="154" t="s">
        <v>508</v>
      </c>
      <c r="F55" s="153">
        <v>4282</v>
      </c>
      <c r="G55" s="154" t="s">
        <v>508</v>
      </c>
      <c r="H55" s="153">
        <v>6325</v>
      </c>
      <c r="I55" s="154" t="s">
        <v>508</v>
      </c>
      <c r="J55" s="153">
        <v>11841</v>
      </c>
      <c r="K55" s="154" t="s">
        <v>508</v>
      </c>
    </row>
    <row r="56" spans="1:11" s="142" customFormat="1" ht="12.75" customHeight="1" x14ac:dyDescent="0.25">
      <c r="A56" s="151"/>
      <c r="B56" s="152"/>
      <c r="C56" s="219"/>
      <c r="D56" s="153"/>
      <c r="E56" s="154"/>
      <c r="F56" s="153"/>
      <c r="G56" s="154"/>
      <c r="H56" s="153"/>
      <c r="I56" s="154"/>
      <c r="J56" s="153"/>
      <c r="K56" s="154"/>
    </row>
    <row r="57" spans="1:11" s="142" customFormat="1" ht="12.75" customHeight="1" x14ac:dyDescent="0.25">
      <c r="A57" s="151">
        <v>2015</v>
      </c>
      <c r="B57" s="152" t="s">
        <v>1</v>
      </c>
      <c r="C57" s="219"/>
      <c r="D57" s="153">
        <v>20182</v>
      </c>
      <c r="E57" s="154" t="s">
        <v>508</v>
      </c>
      <c r="F57" s="153">
        <v>4404</v>
      </c>
      <c r="G57" s="154" t="s">
        <v>508</v>
      </c>
      <c r="H57" s="153">
        <v>6213</v>
      </c>
      <c r="I57" s="154" t="s">
        <v>508</v>
      </c>
      <c r="J57" s="153">
        <v>9565</v>
      </c>
      <c r="K57" s="154" t="s">
        <v>508</v>
      </c>
    </row>
    <row r="58" spans="1:11" s="142" customFormat="1" ht="12.75" customHeight="1" x14ac:dyDescent="0.25">
      <c r="A58" s="151"/>
      <c r="B58" s="152" t="s">
        <v>2</v>
      </c>
      <c r="C58" s="219"/>
      <c r="D58" s="153">
        <v>18665</v>
      </c>
      <c r="E58" s="154" t="s">
        <v>508</v>
      </c>
      <c r="F58" s="153">
        <v>3975</v>
      </c>
      <c r="G58" s="154" t="s">
        <v>508</v>
      </c>
      <c r="H58" s="153">
        <v>5832</v>
      </c>
      <c r="I58" s="154" t="s">
        <v>508</v>
      </c>
      <c r="J58" s="153">
        <v>8858</v>
      </c>
      <c r="K58" s="154" t="s">
        <v>508</v>
      </c>
    </row>
    <row r="59" spans="1:11" s="142" customFormat="1" ht="12.75" customHeight="1" x14ac:dyDescent="0.25">
      <c r="A59" s="151"/>
      <c r="B59" s="152" t="s">
        <v>3</v>
      </c>
      <c r="C59" s="219"/>
      <c r="D59" s="153">
        <v>20946</v>
      </c>
      <c r="E59" s="154" t="s">
        <v>508</v>
      </c>
      <c r="F59" s="153">
        <v>3896</v>
      </c>
      <c r="G59" s="154" t="s">
        <v>508</v>
      </c>
      <c r="H59" s="153">
        <v>5629</v>
      </c>
      <c r="I59" s="154" t="s">
        <v>508</v>
      </c>
      <c r="J59" s="153">
        <v>11421</v>
      </c>
      <c r="K59" s="154" t="s">
        <v>508</v>
      </c>
    </row>
    <row r="60" spans="1:11" s="142" customFormat="1" ht="12.75" customHeight="1" x14ac:dyDescent="0.25">
      <c r="A60" s="151"/>
      <c r="B60" s="152" t="s">
        <v>4</v>
      </c>
      <c r="C60" s="219"/>
      <c r="D60" s="153">
        <v>20611</v>
      </c>
      <c r="E60" s="154" t="s">
        <v>508</v>
      </c>
      <c r="F60" s="153">
        <v>3570</v>
      </c>
      <c r="G60" s="154" t="s">
        <v>508</v>
      </c>
      <c r="H60" s="153">
        <v>6501</v>
      </c>
      <c r="I60" s="154" t="s">
        <v>508</v>
      </c>
      <c r="J60" s="153">
        <v>10540</v>
      </c>
      <c r="K60" s="154" t="s">
        <v>508</v>
      </c>
    </row>
    <row r="61" spans="1:11" s="142" customFormat="1" ht="12.75" customHeight="1" x14ac:dyDescent="0.25">
      <c r="A61" s="151"/>
      <c r="B61" s="152"/>
      <c r="C61" s="219"/>
      <c r="D61" s="153"/>
      <c r="E61" s="154"/>
      <c r="F61" s="153"/>
      <c r="G61" s="154"/>
      <c r="H61" s="153"/>
      <c r="I61" s="154"/>
      <c r="J61" s="153"/>
      <c r="K61" s="154"/>
    </row>
    <row r="62" spans="1:11" s="142" customFormat="1" ht="12.75" customHeight="1" x14ac:dyDescent="0.25">
      <c r="A62" s="151">
        <v>2016</v>
      </c>
      <c r="B62" s="152" t="s">
        <v>1</v>
      </c>
      <c r="C62" s="219"/>
      <c r="D62" s="153">
        <v>20119</v>
      </c>
      <c r="E62" s="154" t="s">
        <v>508</v>
      </c>
      <c r="F62" s="153">
        <v>3775</v>
      </c>
      <c r="G62" s="154" t="s">
        <v>508</v>
      </c>
      <c r="H62" s="153">
        <v>6722</v>
      </c>
      <c r="I62" s="154" t="s">
        <v>508</v>
      </c>
      <c r="J62" s="153">
        <v>9622</v>
      </c>
      <c r="K62" s="154" t="s">
        <v>508</v>
      </c>
    </row>
    <row r="63" spans="1:11" s="142" customFormat="1" ht="12.75" customHeight="1" x14ac:dyDescent="0.25">
      <c r="A63" s="151"/>
      <c r="B63" s="152" t="s">
        <v>2</v>
      </c>
      <c r="C63" s="219" t="s">
        <v>197</v>
      </c>
      <c r="D63" s="153">
        <v>22772</v>
      </c>
      <c r="E63" s="154" t="s">
        <v>280</v>
      </c>
      <c r="F63" s="153">
        <v>3688</v>
      </c>
      <c r="G63" s="154" t="s">
        <v>508</v>
      </c>
      <c r="H63" s="153">
        <v>6741</v>
      </c>
      <c r="I63" s="154" t="s">
        <v>508</v>
      </c>
      <c r="J63" s="153">
        <v>12343</v>
      </c>
      <c r="K63" s="154" t="s">
        <v>280</v>
      </c>
    </row>
    <row r="64" spans="1:11" s="142" customFormat="1" ht="12.75" customHeight="1" x14ac:dyDescent="0.25">
      <c r="A64" s="151"/>
      <c r="B64" s="152" t="s">
        <v>3</v>
      </c>
      <c r="C64" s="219" t="s">
        <v>197</v>
      </c>
      <c r="D64" s="153">
        <v>25284</v>
      </c>
      <c r="E64" s="154" t="s">
        <v>508</v>
      </c>
      <c r="F64" s="153">
        <v>3925</v>
      </c>
      <c r="G64" s="154" t="s">
        <v>508</v>
      </c>
      <c r="H64" s="153">
        <v>6490</v>
      </c>
      <c r="I64" s="154" t="s">
        <v>508</v>
      </c>
      <c r="J64" s="153">
        <v>14869</v>
      </c>
      <c r="K64" s="154" t="s">
        <v>508</v>
      </c>
    </row>
    <row r="65" spans="1:27" s="142" customFormat="1" ht="12.75" customHeight="1" x14ac:dyDescent="0.25">
      <c r="A65" s="152"/>
      <c r="B65" s="152" t="s">
        <v>4</v>
      </c>
      <c r="C65" s="219" t="s">
        <v>197</v>
      </c>
      <c r="D65" s="153">
        <v>22444</v>
      </c>
      <c r="E65" s="154" t="s">
        <v>280</v>
      </c>
      <c r="F65" s="153">
        <v>3618</v>
      </c>
      <c r="G65" s="154" t="s">
        <v>280</v>
      </c>
      <c r="H65" s="153">
        <v>6243</v>
      </c>
      <c r="I65" s="154" t="s">
        <v>508</v>
      </c>
      <c r="J65" s="153">
        <v>12583</v>
      </c>
      <c r="K65" s="154" t="s">
        <v>280</v>
      </c>
    </row>
    <row r="66" spans="1:27" s="142" customFormat="1" ht="12.75" customHeight="1" x14ac:dyDescent="0.25">
      <c r="A66" s="151"/>
      <c r="B66" s="152"/>
      <c r="C66" s="219"/>
      <c r="D66" s="153"/>
      <c r="E66" s="154"/>
      <c r="F66" s="153"/>
      <c r="G66" s="154"/>
      <c r="H66" s="153"/>
      <c r="I66" s="154"/>
      <c r="J66" s="153"/>
      <c r="K66" s="154"/>
    </row>
    <row r="67" spans="1:27" s="142" customFormat="1" ht="12.75" customHeight="1" x14ac:dyDescent="0.25">
      <c r="A67" s="151">
        <v>2017</v>
      </c>
      <c r="B67" s="152" t="s">
        <v>1</v>
      </c>
      <c r="C67" s="219" t="s">
        <v>197</v>
      </c>
      <c r="D67" s="153">
        <v>23154</v>
      </c>
      <c r="E67" s="154" t="s">
        <v>508</v>
      </c>
      <c r="F67" s="153">
        <v>4072</v>
      </c>
      <c r="G67" s="154" t="s">
        <v>508</v>
      </c>
      <c r="H67" s="153">
        <v>6119</v>
      </c>
      <c r="I67" s="154" t="s">
        <v>508</v>
      </c>
      <c r="J67" s="153">
        <v>12963</v>
      </c>
      <c r="K67" s="154" t="s">
        <v>508</v>
      </c>
      <c r="AA67" s="142" t="s">
        <v>508</v>
      </c>
    </row>
    <row r="68" spans="1:27" s="142" customFormat="1" ht="12.75" customHeight="1" thickBot="1" x14ac:dyDescent="0.3">
      <c r="A68" s="152"/>
      <c r="B68" s="156"/>
      <c r="C68" s="220"/>
      <c r="D68" s="153"/>
      <c r="E68" s="154"/>
      <c r="F68" s="153"/>
      <c r="G68" s="154"/>
      <c r="H68" s="153"/>
      <c r="I68" s="154"/>
      <c r="J68" s="153"/>
      <c r="K68" s="154"/>
    </row>
    <row r="69" spans="1:27" s="142" customFormat="1" ht="12.75" customHeight="1" x14ac:dyDescent="0.2">
      <c r="A69" s="159" t="s">
        <v>509</v>
      </c>
      <c r="B69" s="159"/>
      <c r="C69" s="221"/>
      <c r="D69" s="159"/>
      <c r="E69" s="221"/>
      <c r="F69" s="159"/>
      <c r="G69" s="221"/>
      <c r="H69" s="159"/>
      <c r="I69" s="221"/>
      <c r="J69" s="159"/>
      <c r="K69" s="221"/>
    </row>
    <row r="70" spans="1:27" s="142" customFormat="1" ht="12.75" customHeight="1" x14ac:dyDescent="0.2">
      <c r="A70" s="160"/>
      <c r="B70" s="160"/>
      <c r="C70" s="161"/>
      <c r="D70" s="160"/>
      <c r="E70" s="161"/>
      <c r="F70" s="160"/>
      <c r="G70" s="161"/>
      <c r="H70" s="160"/>
      <c r="I70" s="161"/>
      <c r="J70" s="160"/>
      <c r="K70" s="161"/>
    </row>
    <row r="71" spans="1:27" s="142" customFormat="1" ht="12.75" hidden="1" customHeight="1" x14ac:dyDescent="0.2">
      <c r="A71" s="162">
        <v>2016</v>
      </c>
      <c r="B71" s="163" t="s">
        <v>4</v>
      </c>
      <c r="C71" s="222"/>
      <c r="D71" s="164" t="s">
        <v>121</v>
      </c>
      <c r="E71" s="161"/>
      <c r="F71" s="164" t="s">
        <v>121</v>
      </c>
      <c r="G71" s="161"/>
      <c r="H71" s="164" t="s">
        <v>121</v>
      </c>
      <c r="I71" s="161"/>
      <c r="J71" s="164" t="s">
        <v>121</v>
      </c>
      <c r="K71" s="161"/>
    </row>
    <row r="72" spans="1:27" s="142" customFormat="1" ht="12.75" hidden="1" customHeight="1" x14ac:dyDescent="0.2">
      <c r="A72" s="165"/>
      <c r="B72" s="166"/>
      <c r="C72" s="223"/>
      <c r="D72" s="167"/>
      <c r="E72" s="281"/>
      <c r="F72" s="167"/>
      <c r="G72" s="281"/>
      <c r="H72" s="167"/>
      <c r="I72" s="281"/>
      <c r="J72" s="167"/>
      <c r="K72" s="281"/>
    </row>
    <row r="73" spans="1:27" s="142" customFormat="1" ht="12.75" customHeight="1" thickBot="1" x14ac:dyDescent="0.25">
      <c r="A73" s="157">
        <v>2016</v>
      </c>
      <c r="B73" s="158" t="s">
        <v>1</v>
      </c>
      <c r="C73" s="224"/>
      <c r="D73" s="168">
        <v>15.085242805308408</v>
      </c>
      <c r="E73" s="282"/>
      <c r="F73" s="168">
        <v>7.8675496688741742</v>
      </c>
      <c r="G73" s="282"/>
      <c r="H73" s="168">
        <v>-8.9705444808092842</v>
      </c>
      <c r="I73" s="282"/>
      <c r="J73" s="168">
        <v>34.722510912492211</v>
      </c>
      <c r="K73" s="282"/>
    </row>
    <row r="74" spans="1:27" s="169" customFormat="1" ht="12.75" customHeight="1" x14ac:dyDescent="0.2">
      <c r="A74" s="342"/>
      <c r="B74" s="342"/>
      <c r="C74" s="342"/>
      <c r="D74" s="342"/>
      <c r="E74" s="342"/>
      <c r="F74" s="342"/>
      <c r="G74" s="342"/>
      <c r="H74" s="342"/>
      <c r="I74" s="342"/>
      <c r="J74" s="342"/>
      <c r="K74" s="342"/>
    </row>
    <row r="75" spans="1:27" s="169" customFormat="1" ht="48" customHeight="1" x14ac:dyDescent="0.2">
      <c r="A75" s="340" t="s">
        <v>493</v>
      </c>
      <c r="B75" s="340"/>
      <c r="C75" s="340"/>
      <c r="D75" s="340"/>
      <c r="E75" s="340"/>
      <c r="F75" s="340"/>
      <c r="G75" s="340"/>
      <c r="H75" s="340"/>
      <c r="I75" s="340"/>
      <c r="J75" s="340"/>
      <c r="K75" s="340"/>
    </row>
    <row r="76" spans="1:27" s="170" customFormat="1" ht="47.25" customHeight="1" x14ac:dyDescent="0.3">
      <c r="A76" s="340" t="s">
        <v>238</v>
      </c>
      <c r="B76" s="340"/>
      <c r="C76" s="340"/>
      <c r="D76" s="340"/>
      <c r="E76" s="340"/>
      <c r="F76" s="340"/>
      <c r="G76" s="340"/>
      <c r="H76" s="340"/>
      <c r="I76" s="340"/>
      <c r="J76" s="340"/>
      <c r="K76" s="340"/>
    </row>
    <row r="77" spans="1:27" s="171" customFormat="1" ht="15" x14ac:dyDescent="0.3">
      <c r="A77" s="340" t="s">
        <v>241</v>
      </c>
      <c r="B77" s="340"/>
      <c r="C77" s="340"/>
      <c r="D77" s="340"/>
      <c r="E77" s="340"/>
      <c r="F77" s="340"/>
      <c r="G77" s="340"/>
      <c r="H77" s="340"/>
      <c r="I77" s="340"/>
      <c r="J77" s="340"/>
      <c r="K77" s="340"/>
    </row>
    <row r="78" spans="1:27" s="171" customFormat="1" ht="27.75" customHeight="1" x14ac:dyDescent="0.3">
      <c r="A78" s="345"/>
      <c r="B78" s="345"/>
      <c r="C78" s="345"/>
      <c r="D78" s="345"/>
      <c r="E78" s="345"/>
      <c r="F78" s="345"/>
      <c r="G78" s="345"/>
      <c r="H78" s="345"/>
      <c r="I78" s="345"/>
      <c r="J78" s="345"/>
      <c r="K78" s="345"/>
    </row>
    <row r="79" spans="1:27" ht="12.75" customHeight="1" x14ac:dyDescent="0.3">
      <c r="A79" s="345"/>
      <c r="B79" s="345"/>
      <c r="C79" s="345"/>
      <c r="D79" s="345"/>
      <c r="E79" s="345"/>
      <c r="F79" s="345"/>
      <c r="G79" s="345"/>
      <c r="H79" s="345"/>
      <c r="I79" s="345"/>
      <c r="J79" s="345"/>
      <c r="K79" s="345"/>
    </row>
    <row r="80" spans="1:27" ht="12.75" customHeight="1" x14ac:dyDescent="0.3">
      <c r="A80" s="345"/>
      <c r="B80" s="345"/>
      <c r="C80" s="345"/>
      <c r="D80" s="345"/>
      <c r="E80" s="345"/>
      <c r="F80" s="345"/>
      <c r="G80" s="345"/>
      <c r="H80" s="345"/>
      <c r="I80" s="345"/>
      <c r="J80" s="345"/>
      <c r="K80" s="345"/>
    </row>
    <row r="81" spans="1:11" ht="12.75" customHeight="1" x14ac:dyDescent="0.3">
      <c r="A81" s="345"/>
      <c r="B81" s="345"/>
      <c r="C81" s="345"/>
      <c r="D81" s="345"/>
      <c r="E81" s="345"/>
      <c r="F81" s="345"/>
      <c r="G81" s="345"/>
      <c r="H81" s="345"/>
      <c r="I81" s="345"/>
      <c r="J81" s="345"/>
      <c r="K81" s="345"/>
    </row>
    <row r="82" spans="1:11" ht="12.75" customHeight="1" x14ac:dyDescent="0.3">
      <c r="A82" s="345"/>
      <c r="B82" s="345"/>
      <c r="C82" s="345"/>
      <c r="D82" s="345"/>
      <c r="E82" s="345"/>
      <c r="F82" s="345"/>
      <c r="G82" s="345"/>
      <c r="H82" s="345"/>
      <c r="I82" s="345"/>
      <c r="J82" s="345"/>
      <c r="K82" s="345"/>
    </row>
    <row r="83" spans="1:11" ht="12.75" customHeight="1" x14ac:dyDescent="0.3">
      <c r="A83" s="345"/>
      <c r="B83" s="345"/>
      <c r="C83" s="345"/>
      <c r="D83" s="345"/>
      <c r="E83" s="345"/>
      <c r="F83" s="345"/>
      <c r="G83" s="345"/>
      <c r="H83" s="345"/>
      <c r="I83" s="345"/>
      <c r="J83" s="345"/>
      <c r="K83" s="345"/>
    </row>
    <row r="84" spans="1:11" ht="12.75" customHeight="1" x14ac:dyDescent="0.3">
      <c r="A84" s="345"/>
      <c r="B84" s="345"/>
      <c r="C84" s="345"/>
      <c r="D84" s="345"/>
      <c r="E84" s="345"/>
      <c r="F84" s="345"/>
      <c r="G84" s="345"/>
      <c r="H84" s="345"/>
      <c r="I84" s="345"/>
      <c r="J84" s="345"/>
      <c r="K84" s="345"/>
    </row>
  </sheetData>
  <dataConsolidate/>
  <mergeCells count="16">
    <mergeCell ref="A74:K74"/>
    <mergeCell ref="J4:K4"/>
    <mergeCell ref="D5:E5"/>
    <mergeCell ref="F5:G5"/>
    <mergeCell ref="H5:I5"/>
    <mergeCell ref="J5:K5"/>
    <mergeCell ref="A81:K81"/>
    <mergeCell ref="A82:K82"/>
    <mergeCell ref="A83:K83"/>
    <mergeCell ref="A84:K84"/>
    <mergeCell ref="A75:K75"/>
    <mergeCell ref="A76:K76"/>
    <mergeCell ref="A77:K77"/>
    <mergeCell ref="A78:K78"/>
    <mergeCell ref="A79:K79"/>
    <mergeCell ref="A80:K80"/>
  </mergeCells>
  <hyperlinks>
    <hyperlink ref="A3" location="'Table Contents'!A1" display="Back to contents"/>
  </hyperlinks>
  <printOptions horizontalCentered="1" verticalCentered="1" gridLinesSet="0"/>
  <pageMargins left="0.19685039370078741" right="0.19685039370078741" top="0.19685039370078741" bottom="0.19685039370078741" header="0.39370078740157483" footer="0.39370078740157483"/>
  <pageSetup paperSize="9" scale="76" orientation="portrait" horizontalDpi="300" verticalDpi="4294967292"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AA73"/>
  <sheetViews>
    <sheetView showGridLines="0" zoomScaleNormal="100" workbookViewId="0">
      <pane xSplit="3" ySplit="5" topLeftCell="D6" activePane="bottomRight" state="frozen"/>
      <selection activeCell="AA2" sqref="AA2"/>
      <selection pane="topRight" activeCell="AA2" sqref="AA2"/>
      <selection pane="bottomLeft" activeCell="AA2" sqref="AA2"/>
      <selection pane="bottomRight" activeCell="D6" sqref="D6"/>
    </sheetView>
  </sheetViews>
  <sheetFormatPr defaultColWidth="8.85546875" defaultRowHeight="12.75" customHeight="1" x14ac:dyDescent="0.3"/>
  <cols>
    <col min="1" max="1" width="7.42578125" style="131" customWidth="1"/>
    <col min="2" max="2" width="4.85546875" style="131" customWidth="1"/>
    <col min="3" max="3" width="4.85546875" style="174" customWidth="1"/>
    <col min="4" max="4" width="12.7109375" style="172" customWidth="1"/>
    <col min="5" max="5" width="3.85546875" style="174" customWidth="1"/>
    <col min="6" max="6" width="12.7109375" style="172" customWidth="1"/>
    <col min="7" max="7" width="3.85546875" style="174" customWidth="1"/>
    <col min="8" max="8" width="12.7109375" style="172" customWidth="1"/>
    <col min="9" max="9" width="3.85546875" style="174" customWidth="1"/>
    <col min="10" max="10" width="12.85546875" style="173" customWidth="1"/>
    <col min="11" max="11" width="3.85546875" style="174" customWidth="1"/>
    <col min="12" max="16384" width="8.85546875" style="134"/>
  </cols>
  <sheetData>
    <row r="1" spans="1:12" ht="12.75" customHeight="1" x14ac:dyDescent="0.3">
      <c r="B1" s="132"/>
      <c r="C1" s="133"/>
      <c r="D1" s="132"/>
      <c r="E1" s="133"/>
      <c r="F1" s="132"/>
      <c r="G1" s="133"/>
      <c r="H1" s="132"/>
      <c r="I1" s="133"/>
      <c r="J1" s="132"/>
      <c r="K1" s="133"/>
    </row>
    <row r="2" spans="1:12" s="136" customFormat="1" ht="31.5" customHeight="1" x14ac:dyDescent="0.3">
      <c r="A2" s="193" t="s">
        <v>172</v>
      </c>
      <c r="B2" s="194"/>
      <c r="C2" s="194"/>
      <c r="D2" s="195" t="s">
        <v>127</v>
      </c>
      <c r="E2" s="133"/>
      <c r="F2" s="132"/>
      <c r="G2" s="133"/>
      <c r="H2" s="132"/>
      <c r="I2" s="133"/>
      <c r="J2" s="132"/>
      <c r="K2" s="133"/>
      <c r="L2" s="132"/>
    </row>
    <row r="3" spans="1:12" s="136" customFormat="1" ht="19.5" x14ac:dyDescent="0.3">
      <c r="A3" s="196" t="s">
        <v>154</v>
      </c>
      <c r="B3" s="197"/>
      <c r="C3" s="214"/>
      <c r="D3" s="198" t="s">
        <v>242</v>
      </c>
      <c r="E3" s="283"/>
      <c r="F3" s="188"/>
      <c r="G3" s="283"/>
      <c r="H3" s="188"/>
      <c r="I3" s="283"/>
      <c r="J3" s="188"/>
      <c r="K3" s="283"/>
      <c r="L3" s="132"/>
    </row>
    <row r="4" spans="1:12" ht="10.5" customHeight="1" thickBot="1" x14ac:dyDescent="0.35">
      <c r="A4" s="137"/>
      <c r="B4" s="137"/>
      <c r="C4" s="215"/>
      <c r="D4" s="137"/>
      <c r="E4" s="215"/>
      <c r="F4" s="137"/>
      <c r="G4" s="215"/>
      <c r="H4" s="137"/>
      <c r="I4" s="215"/>
      <c r="J4" s="337"/>
      <c r="K4" s="337"/>
    </row>
    <row r="5" spans="1:12" ht="47.25" customHeight="1" thickBot="1" x14ac:dyDescent="0.35">
      <c r="A5" s="231"/>
      <c r="B5" s="231"/>
      <c r="C5" s="232"/>
      <c r="D5" s="346" t="s">
        <v>123</v>
      </c>
      <c r="E5" s="346"/>
      <c r="F5" s="347" t="s">
        <v>124</v>
      </c>
      <c r="G5" s="347"/>
      <c r="H5" s="347" t="s">
        <v>87</v>
      </c>
      <c r="I5" s="347"/>
      <c r="J5" s="347" t="s">
        <v>125</v>
      </c>
      <c r="K5" s="347"/>
      <c r="L5" s="189"/>
    </row>
    <row r="6" spans="1:12" s="142" customFormat="1" ht="12.75" customHeight="1" x14ac:dyDescent="0.25">
      <c r="A6" s="151">
        <v>2007</v>
      </c>
      <c r="B6" s="152" t="s">
        <v>1</v>
      </c>
      <c r="C6" s="219"/>
      <c r="D6" s="155">
        <v>26.617962702485567</v>
      </c>
      <c r="E6" s="154" t="s">
        <v>508</v>
      </c>
      <c r="F6" s="155">
        <v>15.275450283853022</v>
      </c>
      <c r="G6" s="154" t="s">
        <v>508</v>
      </c>
      <c r="H6" s="155" t="s">
        <v>207</v>
      </c>
      <c r="I6" s="154" t="s">
        <v>508</v>
      </c>
      <c r="J6" s="155">
        <v>11.342512418632547</v>
      </c>
      <c r="K6" s="154" t="s">
        <v>508</v>
      </c>
      <c r="L6" s="206"/>
    </row>
    <row r="7" spans="1:12" s="142" customFormat="1" ht="12.75" customHeight="1" x14ac:dyDescent="0.25">
      <c r="A7" s="151"/>
      <c r="B7" s="152" t="s">
        <v>2</v>
      </c>
      <c r="C7" s="219"/>
      <c r="D7" s="155">
        <v>26.698528467403275</v>
      </c>
      <c r="E7" s="154" t="s">
        <v>508</v>
      </c>
      <c r="F7" s="155">
        <v>15.475664393906962</v>
      </c>
      <c r="G7" s="154" t="s">
        <v>508</v>
      </c>
      <c r="H7" s="155" t="s">
        <v>207</v>
      </c>
      <c r="I7" s="154" t="s">
        <v>508</v>
      </c>
      <c r="J7" s="155">
        <v>11.222864073496316</v>
      </c>
      <c r="K7" s="154" t="s">
        <v>508</v>
      </c>
      <c r="L7" s="206"/>
    </row>
    <row r="8" spans="1:12" s="142" customFormat="1" ht="12.75" customHeight="1" x14ac:dyDescent="0.25">
      <c r="A8" s="151"/>
      <c r="B8" s="152" t="s">
        <v>3</v>
      </c>
      <c r="C8" s="219"/>
      <c r="D8" s="155">
        <v>26.205469172416155</v>
      </c>
      <c r="E8" s="154" t="s">
        <v>508</v>
      </c>
      <c r="F8" s="155">
        <v>15.482450702606917</v>
      </c>
      <c r="G8" s="154" t="s">
        <v>508</v>
      </c>
      <c r="H8" s="155" t="s">
        <v>207</v>
      </c>
      <c r="I8" s="154" t="s">
        <v>508</v>
      </c>
      <c r="J8" s="155">
        <v>10.723018469809238</v>
      </c>
      <c r="K8" s="154" t="s">
        <v>508</v>
      </c>
      <c r="L8" s="206"/>
    </row>
    <row r="9" spans="1:12" s="142" customFormat="1" ht="12.75" customHeight="1" x14ac:dyDescent="0.25">
      <c r="A9" s="151"/>
      <c r="B9" s="152" t="s">
        <v>4</v>
      </c>
      <c r="C9" s="219"/>
      <c r="D9" s="155">
        <v>25.037837902814076</v>
      </c>
      <c r="E9" s="154" t="s">
        <v>508</v>
      </c>
      <c r="F9" s="155">
        <v>15.138448009503037</v>
      </c>
      <c r="G9" s="154" t="s">
        <v>508</v>
      </c>
      <c r="H9" s="155" t="s">
        <v>207</v>
      </c>
      <c r="I9" s="154" t="s">
        <v>508</v>
      </c>
      <c r="J9" s="155">
        <v>9.8993898933110369</v>
      </c>
      <c r="K9" s="154" t="s">
        <v>508</v>
      </c>
      <c r="L9" s="206"/>
    </row>
    <row r="10" spans="1:12" s="142" customFormat="1" ht="12.75" customHeight="1" x14ac:dyDescent="0.25">
      <c r="A10" s="151"/>
      <c r="B10" s="152"/>
      <c r="C10" s="219"/>
      <c r="D10" s="155"/>
      <c r="E10" s="154"/>
      <c r="F10" s="155"/>
      <c r="G10" s="154"/>
      <c r="H10" s="155"/>
      <c r="I10" s="154"/>
      <c r="J10" s="155"/>
      <c r="K10" s="154"/>
      <c r="L10" s="206"/>
    </row>
    <row r="11" spans="1:12" s="142" customFormat="1" ht="12.75" customHeight="1" x14ac:dyDescent="0.25">
      <c r="A11" s="151">
        <v>2008</v>
      </c>
      <c r="B11" s="152" t="s">
        <v>1</v>
      </c>
      <c r="C11" s="219"/>
      <c r="D11" s="155">
        <v>23.896936439589986</v>
      </c>
      <c r="E11" s="154" t="s">
        <v>508</v>
      </c>
      <c r="F11" s="155">
        <v>14.605218818005968</v>
      </c>
      <c r="G11" s="154" t="s">
        <v>508</v>
      </c>
      <c r="H11" s="155" t="s">
        <v>207</v>
      </c>
      <c r="I11" s="154" t="s">
        <v>508</v>
      </c>
      <c r="J11" s="155">
        <v>9.29171762158402</v>
      </c>
      <c r="K11" s="154" t="s">
        <v>508</v>
      </c>
      <c r="L11" s="206"/>
    </row>
    <row r="12" spans="1:12" s="142" customFormat="1" ht="12.75" customHeight="1" x14ac:dyDescent="0.25">
      <c r="A12" s="151"/>
      <c r="B12" s="152" t="s">
        <v>2</v>
      </c>
      <c r="C12" s="219"/>
      <c r="D12" s="155">
        <v>23.52225559801153</v>
      </c>
      <c r="E12" s="154" t="s">
        <v>508</v>
      </c>
      <c r="F12" s="155">
        <v>14.543482081276244</v>
      </c>
      <c r="G12" s="154" t="s">
        <v>508</v>
      </c>
      <c r="H12" s="155" t="s">
        <v>207</v>
      </c>
      <c r="I12" s="154" t="s">
        <v>508</v>
      </c>
      <c r="J12" s="155">
        <v>8.978773516735286</v>
      </c>
      <c r="K12" s="154" t="s">
        <v>508</v>
      </c>
      <c r="L12" s="206"/>
    </row>
    <row r="13" spans="1:12" s="142" customFormat="1" ht="12.75" customHeight="1" x14ac:dyDescent="0.25">
      <c r="A13" s="151"/>
      <c r="B13" s="152" t="s">
        <v>3</v>
      </c>
      <c r="C13" s="219"/>
      <c r="D13" s="155">
        <v>23.754737389143791</v>
      </c>
      <c r="E13" s="154" t="s">
        <v>508</v>
      </c>
      <c r="F13" s="155">
        <v>14.890681480856571</v>
      </c>
      <c r="G13" s="154" t="s">
        <v>508</v>
      </c>
      <c r="H13" s="155" t="s">
        <v>207</v>
      </c>
      <c r="I13" s="154" t="s">
        <v>508</v>
      </c>
      <c r="J13" s="155">
        <v>8.8640559082872201</v>
      </c>
      <c r="K13" s="154" t="s">
        <v>508</v>
      </c>
      <c r="L13" s="206"/>
    </row>
    <row r="14" spans="1:12" s="142" customFormat="1" ht="12.75" customHeight="1" x14ac:dyDescent="0.25">
      <c r="A14" s="151"/>
      <c r="B14" s="152" t="s">
        <v>4</v>
      </c>
      <c r="C14" s="219"/>
      <c r="D14" s="155">
        <v>24.777992498880447</v>
      </c>
      <c r="E14" s="154" t="s">
        <v>508</v>
      </c>
      <c r="F14" s="155">
        <v>15.681131534525745</v>
      </c>
      <c r="G14" s="154" t="s">
        <v>508</v>
      </c>
      <c r="H14" s="155" t="s">
        <v>207</v>
      </c>
      <c r="I14" s="154" t="s">
        <v>508</v>
      </c>
      <c r="J14" s="155">
        <v>9.0968609643547058</v>
      </c>
      <c r="K14" s="154" t="s">
        <v>508</v>
      </c>
      <c r="L14" s="206"/>
    </row>
    <row r="15" spans="1:12" s="142" customFormat="1" ht="12.75" customHeight="1" x14ac:dyDescent="0.25">
      <c r="A15" s="151"/>
      <c r="B15" s="152"/>
      <c r="C15" s="219"/>
      <c r="D15" s="155"/>
      <c r="E15" s="154"/>
      <c r="F15" s="155"/>
      <c r="G15" s="154"/>
      <c r="H15" s="155"/>
      <c r="I15" s="154"/>
      <c r="J15" s="155"/>
      <c r="K15" s="154"/>
      <c r="L15" s="206"/>
    </row>
    <row r="16" spans="1:12" s="142" customFormat="1" ht="12.75" customHeight="1" x14ac:dyDescent="0.25">
      <c r="A16" s="151">
        <v>2009</v>
      </c>
      <c r="B16" s="152" t="s">
        <v>1</v>
      </c>
      <c r="C16" s="219"/>
      <c r="D16" s="155">
        <v>26.032553594790652</v>
      </c>
      <c r="E16" s="154" t="s">
        <v>508</v>
      </c>
      <c r="F16" s="155">
        <v>16.722582075278702</v>
      </c>
      <c r="G16" s="154" t="s">
        <v>508</v>
      </c>
      <c r="H16" s="155" t="s">
        <v>207</v>
      </c>
      <c r="I16" s="154" t="s">
        <v>508</v>
      </c>
      <c r="J16" s="155">
        <v>9.3099715195119472</v>
      </c>
      <c r="K16" s="154" t="s">
        <v>508</v>
      </c>
      <c r="L16" s="206"/>
    </row>
    <row r="17" spans="1:12" s="142" customFormat="1" ht="12.75" customHeight="1" x14ac:dyDescent="0.25">
      <c r="A17" s="151"/>
      <c r="B17" s="152" t="s">
        <v>2</v>
      </c>
      <c r="C17" s="219"/>
      <c r="D17" s="155">
        <v>27.622873272065213</v>
      </c>
      <c r="E17" s="154" t="s">
        <v>508</v>
      </c>
      <c r="F17" s="155">
        <v>17.2651931302793</v>
      </c>
      <c r="G17" s="154" t="s">
        <v>508</v>
      </c>
      <c r="H17" s="155">
        <v>0.45804621982768151</v>
      </c>
      <c r="I17" s="154" t="s">
        <v>508</v>
      </c>
      <c r="J17" s="155">
        <v>9.8996339219582321</v>
      </c>
      <c r="K17" s="154" t="s">
        <v>508</v>
      </c>
      <c r="L17" s="206"/>
    </row>
    <row r="18" spans="1:12" s="142" customFormat="1" ht="12.75" customHeight="1" x14ac:dyDescent="0.25">
      <c r="A18" s="151"/>
      <c r="B18" s="152" t="s">
        <v>3</v>
      </c>
      <c r="C18" s="219"/>
      <c r="D18" s="155">
        <v>29.355939957433321</v>
      </c>
      <c r="E18" s="154" t="s">
        <v>508</v>
      </c>
      <c r="F18" s="155">
        <v>17.48499207927571</v>
      </c>
      <c r="G18" s="154" t="s">
        <v>508</v>
      </c>
      <c r="H18" s="155">
        <v>1.498079792379035</v>
      </c>
      <c r="I18" s="154" t="s">
        <v>508</v>
      </c>
      <c r="J18" s="155">
        <v>10.372868085778576</v>
      </c>
      <c r="K18" s="154" t="s">
        <v>508</v>
      </c>
      <c r="L18" s="206"/>
    </row>
    <row r="19" spans="1:12" s="142" customFormat="1" ht="12.75" customHeight="1" x14ac:dyDescent="0.25">
      <c r="A19" s="151"/>
      <c r="B19" s="152" t="s">
        <v>4</v>
      </c>
      <c r="C19" s="219"/>
      <c r="D19" s="155">
        <v>30.931542051581534</v>
      </c>
      <c r="E19" s="154" t="s">
        <v>508</v>
      </c>
      <c r="F19" s="155">
        <v>17.218009609157406</v>
      </c>
      <c r="G19" s="154" t="s">
        <v>508</v>
      </c>
      <c r="H19" s="155">
        <v>2.7280872061864372</v>
      </c>
      <c r="I19" s="154" t="s">
        <v>508</v>
      </c>
      <c r="J19" s="155">
        <v>10.985445236237686</v>
      </c>
      <c r="K19" s="154" t="s">
        <v>508</v>
      </c>
      <c r="L19" s="206"/>
    </row>
    <row r="20" spans="1:12" s="142" customFormat="1" ht="12.75" customHeight="1" x14ac:dyDescent="0.25">
      <c r="A20" s="151"/>
      <c r="B20" s="152"/>
      <c r="C20" s="219"/>
      <c r="D20" s="155"/>
      <c r="E20" s="154"/>
      <c r="F20" s="155"/>
      <c r="G20" s="154"/>
      <c r="H20" s="155"/>
      <c r="I20" s="154"/>
      <c r="J20" s="155"/>
      <c r="K20" s="154"/>
      <c r="L20" s="206"/>
    </row>
    <row r="21" spans="1:12" s="142" customFormat="1" ht="12.75" customHeight="1" x14ac:dyDescent="0.25">
      <c r="A21" s="151">
        <v>2010</v>
      </c>
      <c r="B21" s="152" t="s">
        <v>1</v>
      </c>
      <c r="C21" s="219"/>
      <c r="D21" s="155">
        <v>32.10705390911594</v>
      </c>
      <c r="E21" s="154" t="s">
        <v>508</v>
      </c>
      <c r="F21" s="155">
        <v>16.673372457979976</v>
      </c>
      <c r="G21" s="154" t="s">
        <v>508</v>
      </c>
      <c r="H21" s="155">
        <v>4.0199666625717452</v>
      </c>
      <c r="I21" s="154" t="s">
        <v>508</v>
      </c>
      <c r="J21" s="155">
        <v>11.413714788564217</v>
      </c>
      <c r="K21" s="154" t="s">
        <v>508</v>
      </c>
      <c r="L21" s="206"/>
    </row>
    <row r="22" spans="1:12" s="142" customFormat="1" ht="12.75" customHeight="1" x14ac:dyDescent="0.25">
      <c r="A22" s="151"/>
      <c r="B22" s="152" t="s">
        <v>2</v>
      </c>
      <c r="C22" s="219"/>
      <c r="D22" s="155">
        <v>32.414323913168829</v>
      </c>
      <c r="E22" s="154" t="s">
        <v>508</v>
      </c>
      <c r="F22" s="155">
        <v>15.741628180571338</v>
      </c>
      <c r="G22" s="154" t="s">
        <v>508</v>
      </c>
      <c r="H22" s="155">
        <v>5.0011890790618523</v>
      </c>
      <c r="I22" s="154" t="s">
        <v>508</v>
      </c>
      <c r="J22" s="155">
        <v>11.671506653535637</v>
      </c>
      <c r="K22" s="154" t="s">
        <v>508</v>
      </c>
      <c r="L22" s="206"/>
    </row>
    <row r="23" spans="1:12" s="142" customFormat="1" ht="12.75" customHeight="1" x14ac:dyDescent="0.25">
      <c r="A23" s="151"/>
      <c r="B23" s="152" t="s">
        <v>3</v>
      </c>
      <c r="C23" s="219"/>
      <c r="D23" s="155">
        <v>32.038544795851152</v>
      </c>
      <c r="E23" s="154" t="s">
        <v>508</v>
      </c>
      <c r="F23" s="155">
        <v>14.68790090859579</v>
      </c>
      <c r="G23" s="154" t="s">
        <v>508</v>
      </c>
      <c r="H23" s="155">
        <v>5.5761913366512417</v>
      </c>
      <c r="I23" s="154" t="s">
        <v>508</v>
      </c>
      <c r="J23" s="155">
        <v>11.774452550604122</v>
      </c>
      <c r="K23" s="154" t="s">
        <v>508</v>
      </c>
      <c r="L23" s="206"/>
    </row>
    <row r="24" spans="1:12" s="142" customFormat="1" ht="12.75" customHeight="1" x14ac:dyDescent="0.25">
      <c r="A24" s="151"/>
      <c r="B24" s="152" t="s">
        <v>4</v>
      </c>
      <c r="C24" s="219"/>
      <c r="D24" s="155">
        <v>30.846352228407685</v>
      </c>
      <c r="E24" s="154" t="s">
        <v>508</v>
      </c>
      <c r="F24" s="155">
        <v>13.516022069766137</v>
      </c>
      <c r="G24" s="154" t="s">
        <v>508</v>
      </c>
      <c r="H24" s="155">
        <v>5.7512703377324375</v>
      </c>
      <c r="I24" s="154" t="s">
        <v>508</v>
      </c>
      <c r="J24" s="155">
        <v>11.57905982090911</v>
      </c>
      <c r="K24" s="154" t="s">
        <v>508</v>
      </c>
      <c r="L24" s="206"/>
    </row>
    <row r="25" spans="1:12" s="142" customFormat="1" ht="12.75" customHeight="1" x14ac:dyDescent="0.25">
      <c r="A25" s="151"/>
      <c r="B25" s="152"/>
      <c r="C25" s="219"/>
      <c r="D25" s="155"/>
      <c r="E25" s="154"/>
      <c r="F25" s="155"/>
      <c r="G25" s="154"/>
      <c r="H25" s="155"/>
      <c r="I25" s="154"/>
      <c r="J25" s="155"/>
      <c r="K25" s="154"/>
      <c r="L25" s="206"/>
    </row>
    <row r="26" spans="1:12" s="142" customFormat="1" ht="12.75" customHeight="1" x14ac:dyDescent="0.25">
      <c r="A26" s="151">
        <v>2011</v>
      </c>
      <c r="B26" s="152" t="s">
        <v>1</v>
      </c>
      <c r="C26" s="219"/>
      <c r="D26" s="155">
        <v>29.511200181577237</v>
      </c>
      <c r="E26" s="154" t="s">
        <v>508</v>
      </c>
      <c r="F26" s="155">
        <v>12.18110631703364</v>
      </c>
      <c r="G26" s="154" t="s">
        <v>508</v>
      </c>
      <c r="H26" s="155">
        <v>5.9982651448532716</v>
      </c>
      <c r="I26" s="154" t="s">
        <v>508</v>
      </c>
      <c r="J26" s="155">
        <v>11.331828719690323</v>
      </c>
      <c r="K26" s="154" t="s">
        <v>508</v>
      </c>
      <c r="L26" s="206"/>
    </row>
    <row r="27" spans="1:12" s="142" customFormat="1" ht="12.75" customHeight="1" x14ac:dyDescent="0.25">
      <c r="A27" s="151"/>
      <c r="B27" s="152" t="s">
        <v>2</v>
      </c>
      <c r="C27" s="219"/>
      <c r="D27" s="155">
        <v>28.476782440482943</v>
      </c>
      <c r="E27" s="154" t="s">
        <v>508</v>
      </c>
      <c r="F27" s="155">
        <v>11.269909548376591</v>
      </c>
      <c r="G27" s="154" t="s">
        <v>508</v>
      </c>
      <c r="H27" s="155">
        <v>6.2029400289864567</v>
      </c>
      <c r="I27" s="154" t="s">
        <v>508</v>
      </c>
      <c r="J27" s="155">
        <v>11.003932863119896</v>
      </c>
      <c r="K27" s="154" t="s">
        <v>508</v>
      </c>
      <c r="L27" s="206"/>
    </row>
    <row r="28" spans="1:12" s="142" customFormat="1" ht="12.75" customHeight="1" x14ac:dyDescent="0.25">
      <c r="A28" s="151"/>
      <c r="B28" s="152" t="s">
        <v>3</v>
      </c>
      <c r="C28" s="219"/>
      <c r="D28" s="155">
        <v>27.569733669510029</v>
      </c>
      <c r="E28" s="154" t="s">
        <v>508</v>
      </c>
      <c r="F28" s="155">
        <v>10.261427475326995</v>
      </c>
      <c r="G28" s="154" t="s">
        <v>508</v>
      </c>
      <c r="H28" s="155">
        <v>6.3098049599643646</v>
      </c>
      <c r="I28" s="154" t="s">
        <v>508</v>
      </c>
      <c r="J28" s="155">
        <v>10.99850123421867</v>
      </c>
      <c r="K28" s="154" t="s">
        <v>508</v>
      </c>
      <c r="L28" s="206"/>
    </row>
    <row r="29" spans="1:12" s="142" customFormat="1" ht="12.75" customHeight="1" x14ac:dyDescent="0.25">
      <c r="A29" s="151"/>
      <c r="B29" s="152" t="s">
        <v>4</v>
      </c>
      <c r="C29" s="219"/>
      <c r="D29" s="155">
        <v>27.137811086869299</v>
      </c>
      <c r="E29" s="154" t="s">
        <v>508</v>
      </c>
      <c r="F29" s="155">
        <v>9.4746919542927799</v>
      </c>
      <c r="G29" s="154" t="s">
        <v>508</v>
      </c>
      <c r="H29" s="155">
        <v>6.5634573240538545</v>
      </c>
      <c r="I29" s="154" t="s">
        <v>508</v>
      </c>
      <c r="J29" s="155">
        <v>11.099661808522665</v>
      </c>
      <c r="K29" s="154" t="s">
        <v>508</v>
      </c>
      <c r="L29" s="206"/>
    </row>
    <row r="30" spans="1:12" s="142" customFormat="1" ht="12.75" customHeight="1" x14ac:dyDescent="0.25">
      <c r="A30" s="151"/>
      <c r="B30" s="152"/>
      <c r="C30" s="219"/>
      <c r="D30" s="155"/>
      <c r="E30" s="154"/>
      <c r="F30" s="155"/>
      <c r="G30" s="154"/>
      <c r="H30" s="155"/>
      <c r="I30" s="154"/>
      <c r="J30" s="155"/>
      <c r="K30" s="154"/>
      <c r="L30" s="206"/>
    </row>
    <row r="31" spans="1:12" s="142" customFormat="1" ht="12.75" customHeight="1" x14ac:dyDescent="0.25">
      <c r="A31" s="151">
        <v>2012</v>
      </c>
      <c r="B31" s="152" t="s">
        <v>1</v>
      </c>
      <c r="C31" s="219"/>
      <c r="D31" s="155">
        <v>26.768253726484335</v>
      </c>
      <c r="E31" s="154" t="s">
        <v>508</v>
      </c>
      <c r="F31" s="155">
        <v>8.6883164384718832</v>
      </c>
      <c r="G31" s="154" t="s">
        <v>508</v>
      </c>
      <c r="H31" s="155">
        <v>6.8022229455898557</v>
      </c>
      <c r="I31" s="154" t="s">
        <v>508</v>
      </c>
      <c r="J31" s="155">
        <v>11.2777143424226</v>
      </c>
      <c r="K31" s="154" t="s">
        <v>508</v>
      </c>
      <c r="L31" s="206"/>
    </row>
    <row r="32" spans="1:12" s="142" customFormat="1" ht="12.75" customHeight="1" x14ac:dyDescent="0.25">
      <c r="A32" s="151"/>
      <c r="B32" s="152" t="s">
        <v>2</v>
      </c>
      <c r="C32" s="219"/>
      <c r="D32" s="155">
        <v>26.020128230981289</v>
      </c>
      <c r="E32" s="154" t="s">
        <v>508</v>
      </c>
      <c r="F32" s="155">
        <v>7.9944698829483123</v>
      </c>
      <c r="G32" s="154" t="s">
        <v>508</v>
      </c>
      <c r="H32" s="155">
        <v>6.9474783957398545</v>
      </c>
      <c r="I32" s="154" t="s">
        <v>508</v>
      </c>
      <c r="J32" s="155">
        <v>11.078179952293125</v>
      </c>
      <c r="K32" s="154" t="s">
        <v>508</v>
      </c>
      <c r="L32" s="206"/>
    </row>
    <row r="33" spans="1:12" s="142" customFormat="1" ht="12.75" customHeight="1" x14ac:dyDescent="0.25">
      <c r="A33" s="151"/>
      <c r="B33" s="152" t="s">
        <v>3</v>
      </c>
      <c r="C33" s="219"/>
      <c r="D33" s="155">
        <v>25.487558594724813</v>
      </c>
      <c r="E33" s="154" t="s">
        <v>508</v>
      </c>
      <c r="F33" s="155">
        <v>7.5445675993532584</v>
      </c>
      <c r="G33" s="154" t="s">
        <v>508</v>
      </c>
      <c r="H33" s="155">
        <v>6.9740664997123893</v>
      </c>
      <c r="I33" s="154" t="s">
        <v>508</v>
      </c>
      <c r="J33" s="155">
        <v>10.968924495659165</v>
      </c>
      <c r="K33" s="154" t="s">
        <v>508</v>
      </c>
      <c r="L33" s="206"/>
    </row>
    <row r="34" spans="1:12" s="142" customFormat="1" ht="12.75" customHeight="1" x14ac:dyDescent="0.25">
      <c r="A34" s="151"/>
      <c r="B34" s="152" t="s">
        <v>4</v>
      </c>
      <c r="C34" s="219"/>
      <c r="D34" s="155">
        <v>24.630685736802121</v>
      </c>
      <c r="E34" s="154" t="s">
        <v>508</v>
      </c>
      <c r="F34" s="155">
        <v>7.140966868986947</v>
      </c>
      <c r="G34" s="154" t="s">
        <v>508</v>
      </c>
      <c r="H34" s="155">
        <v>7.0043793377212076</v>
      </c>
      <c r="I34" s="154" t="s">
        <v>508</v>
      </c>
      <c r="J34" s="155">
        <v>10.485339530093961</v>
      </c>
      <c r="K34" s="154" t="s">
        <v>508</v>
      </c>
      <c r="L34" s="206"/>
    </row>
    <row r="35" spans="1:12" s="142" customFormat="1" ht="12.75" customHeight="1" x14ac:dyDescent="0.25">
      <c r="A35" s="151"/>
      <c r="B35" s="152"/>
      <c r="C35" s="219"/>
      <c r="D35" s="155"/>
      <c r="E35" s="154"/>
      <c r="F35" s="155"/>
      <c r="G35" s="154"/>
      <c r="H35" s="155"/>
      <c r="I35" s="154"/>
      <c r="J35" s="155"/>
      <c r="K35" s="154"/>
      <c r="L35" s="206"/>
    </row>
    <row r="36" spans="1:12" s="142" customFormat="1" ht="12.75" customHeight="1" x14ac:dyDescent="0.25">
      <c r="A36" s="151">
        <v>2013</v>
      </c>
      <c r="B36" s="152" t="s">
        <v>1</v>
      </c>
      <c r="C36" s="219"/>
      <c r="D36" s="155">
        <v>23.758593714181671</v>
      </c>
      <c r="E36" s="154" t="s">
        <v>508</v>
      </c>
      <c r="F36" s="155">
        <v>6.5775431769435988</v>
      </c>
      <c r="G36" s="154" t="s">
        <v>508</v>
      </c>
      <c r="H36" s="155">
        <v>6.8406179909968872</v>
      </c>
      <c r="I36" s="154" t="s">
        <v>508</v>
      </c>
      <c r="J36" s="155">
        <v>10.340432546241187</v>
      </c>
      <c r="K36" s="154" t="s">
        <v>508</v>
      </c>
      <c r="L36" s="206"/>
    </row>
    <row r="37" spans="1:12" s="142" customFormat="1" ht="12.75" customHeight="1" x14ac:dyDescent="0.25">
      <c r="A37" s="151"/>
      <c r="B37" s="152" t="s">
        <v>2</v>
      </c>
      <c r="C37" s="219"/>
      <c r="D37" s="155">
        <v>23.344154138363749</v>
      </c>
      <c r="E37" s="154" t="s">
        <v>508</v>
      </c>
      <c r="F37" s="155">
        <v>6.2056432999768809</v>
      </c>
      <c r="G37" s="154" t="s">
        <v>508</v>
      </c>
      <c r="H37" s="155">
        <v>6.6447133862539296</v>
      </c>
      <c r="I37" s="154" t="s">
        <v>508</v>
      </c>
      <c r="J37" s="155">
        <v>10.493797452132936</v>
      </c>
      <c r="K37" s="154" t="s">
        <v>508</v>
      </c>
      <c r="L37" s="206"/>
    </row>
    <row r="38" spans="1:12" s="142" customFormat="1" ht="12.75" customHeight="1" x14ac:dyDescent="0.25">
      <c r="A38" s="151"/>
      <c r="B38" s="152" t="s">
        <v>3</v>
      </c>
      <c r="C38" s="219"/>
      <c r="D38" s="155">
        <v>22.849283475374651</v>
      </c>
      <c r="E38" s="154" t="s">
        <v>508</v>
      </c>
      <c r="F38" s="155">
        <v>5.8302879143052513</v>
      </c>
      <c r="G38" s="154" t="s">
        <v>508</v>
      </c>
      <c r="H38" s="155">
        <v>6.3777086520322595</v>
      </c>
      <c r="I38" s="154" t="s">
        <v>508</v>
      </c>
      <c r="J38" s="155">
        <v>10.641286909037142</v>
      </c>
      <c r="K38" s="154" t="s">
        <v>508</v>
      </c>
      <c r="L38" s="206"/>
    </row>
    <row r="39" spans="1:12" s="142" customFormat="1" ht="12.75" customHeight="1" x14ac:dyDescent="0.25">
      <c r="A39" s="151"/>
      <c r="B39" s="152" t="s">
        <v>4</v>
      </c>
      <c r="C39" s="219"/>
      <c r="D39" s="155">
        <v>22.538377200690167</v>
      </c>
      <c r="E39" s="154" t="s">
        <v>508</v>
      </c>
      <c r="F39" s="155">
        <v>5.4831825006253405</v>
      </c>
      <c r="G39" s="154" t="s">
        <v>508</v>
      </c>
      <c r="H39" s="155">
        <v>6.1470735892810895</v>
      </c>
      <c r="I39" s="154" t="s">
        <v>508</v>
      </c>
      <c r="J39" s="155">
        <v>10.908121110783739</v>
      </c>
      <c r="K39" s="154" t="s">
        <v>508</v>
      </c>
      <c r="L39" s="206"/>
    </row>
    <row r="40" spans="1:12" s="142" customFormat="1" ht="12.75" customHeight="1" x14ac:dyDescent="0.25">
      <c r="A40" s="151"/>
      <c r="B40" s="152"/>
      <c r="C40" s="219"/>
      <c r="D40" s="155"/>
      <c r="E40" s="154"/>
      <c r="F40" s="155"/>
      <c r="G40" s="154"/>
      <c r="H40" s="155"/>
      <c r="I40" s="154"/>
      <c r="J40" s="155"/>
      <c r="K40" s="154"/>
      <c r="L40" s="206"/>
    </row>
    <row r="41" spans="1:12" s="142" customFormat="1" ht="12.75" customHeight="1" x14ac:dyDescent="0.25">
      <c r="A41" s="151">
        <v>2014</v>
      </c>
      <c r="B41" s="152" t="s">
        <v>1</v>
      </c>
      <c r="C41" s="219"/>
      <c r="D41" s="155">
        <v>22.474746905370104</v>
      </c>
      <c r="E41" s="154" t="s">
        <v>508</v>
      </c>
      <c r="F41" s="155">
        <v>5.2508031516955507</v>
      </c>
      <c r="G41" s="154" t="s">
        <v>508</v>
      </c>
      <c r="H41" s="155">
        <v>5.9850114722833716</v>
      </c>
      <c r="I41" s="154" t="s">
        <v>508</v>
      </c>
      <c r="J41" s="155">
        <v>11.238932281391184</v>
      </c>
      <c r="K41" s="154" t="s">
        <v>508</v>
      </c>
      <c r="L41" s="206"/>
    </row>
    <row r="42" spans="1:12" s="142" customFormat="1" ht="12.75" customHeight="1" x14ac:dyDescent="0.25">
      <c r="A42" s="151"/>
      <c r="B42" s="152" t="s">
        <v>2</v>
      </c>
      <c r="C42" s="219"/>
      <c r="D42" s="155">
        <v>22.706274745924425</v>
      </c>
      <c r="E42" s="154" t="s">
        <v>508</v>
      </c>
      <c r="F42" s="155">
        <v>5.0165051441566888</v>
      </c>
      <c r="G42" s="154" t="s">
        <v>508</v>
      </c>
      <c r="H42" s="155">
        <v>5.9445163730925588</v>
      </c>
      <c r="I42" s="154" t="s">
        <v>508</v>
      </c>
      <c r="J42" s="155">
        <v>11.745253228675177</v>
      </c>
      <c r="K42" s="154" t="s">
        <v>508</v>
      </c>
      <c r="L42" s="206"/>
    </row>
    <row r="43" spans="1:12" s="142" customFormat="1" ht="12.75" customHeight="1" x14ac:dyDescent="0.25">
      <c r="A43" s="151"/>
      <c r="B43" s="152" t="s">
        <v>3</v>
      </c>
      <c r="C43" s="219"/>
      <c r="D43" s="155">
        <v>22.398621651941422</v>
      </c>
      <c r="E43" s="154" t="s">
        <v>508</v>
      </c>
      <c r="F43" s="155">
        <v>4.7616724662681928</v>
      </c>
      <c r="G43" s="154" t="s">
        <v>508</v>
      </c>
      <c r="H43" s="155">
        <v>5.9711621100380663</v>
      </c>
      <c r="I43" s="154" t="s">
        <v>508</v>
      </c>
      <c r="J43" s="155">
        <v>11.665787075635166</v>
      </c>
      <c r="K43" s="154" t="s">
        <v>508</v>
      </c>
      <c r="L43" s="206"/>
    </row>
    <row r="44" spans="1:12" s="142" customFormat="1" ht="12.75" customHeight="1" x14ac:dyDescent="0.25">
      <c r="A44" s="151"/>
      <c r="B44" s="152" t="s">
        <v>4</v>
      </c>
      <c r="C44" s="219"/>
      <c r="D44" s="155">
        <v>21.958139429482735</v>
      </c>
      <c r="E44" s="154" t="s">
        <v>508</v>
      </c>
      <c r="F44" s="155">
        <v>4.5023668574103404</v>
      </c>
      <c r="G44" s="154" t="s">
        <v>508</v>
      </c>
      <c r="H44" s="155">
        <v>5.9060784807356681</v>
      </c>
      <c r="I44" s="154" t="s">
        <v>508</v>
      </c>
      <c r="J44" s="155">
        <v>11.549694091336725</v>
      </c>
      <c r="K44" s="154" t="s">
        <v>508</v>
      </c>
      <c r="L44" s="206"/>
    </row>
    <row r="45" spans="1:12" s="142" customFormat="1" ht="12.75" customHeight="1" x14ac:dyDescent="0.25">
      <c r="A45" s="151"/>
      <c r="B45" s="152"/>
      <c r="C45" s="219"/>
      <c r="D45" s="155"/>
      <c r="E45" s="154"/>
      <c r="F45" s="155"/>
      <c r="G45" s="154"/>
      <c r="H45" s="155"/>
      <c r="I45" s="154"/>
      <c r="J45" s="155"/>
      <c r="K45" s="154"/>
      <c r="L45" s="206"/>
    </row>
    <row r="46" spans="1:12" s="142" customFormat="1" ht="12.75" customHeight="1" x14ac:dyDescent="0.25">
      <c r="A46" s="151">
        <v>2015</v>
      </c>
      <c r="B46" s="152" t="s">
        <v>1</v>
      </c>
      <c r="C46" s="219"/>
      <c r="D46" s="155">
        <v>20.859029031641921</v>
      </c>
      <c r="E46" s="154" t="s">
        <v>508</v>
      </c>
      <c r="F46" s="155">
        <v>4.210626243373965</v>
      </c>
      <c r="G46" s="154" t="s">
        <v>508</v>
      </c>
      <c r="H46" s="155">
        <v>5.8190907680611881</v>
      </c>
      <c r="I46" s="154" t="s">
        <v>508</v>
      </c>
      <c r="J46" s="155">
        <v>10.829312020206766</v>
      </c>
      <c r="K46" s="154" t="s">
        <v>508</v>
      </c>
      <c r="L46" s="206"/>
    </row>
    <row r="47" spans="1:12" s="142" customFormat="1" ht="12.75" customHeight="1" x14ac:dyDescent="0.25">
      <c r="A47" s="151"/>
      <c r="B47" s="152" t="s">
        <v>2</v>
      </c>
      <c r="C47" s="219"/>
      <c r="D47" s="155">
        <v>18.983328227403497</v>
      </c>
      <c r="E47" s="154" t="s">
        <v>508</v>
      </c>
      <c r="F47" s="155">
        <v>3.8710098348174133</v>
      </c>
      <c r="G47" s="154" t="s">
        <v>508</v>
      </c>
      <c r="H47" s="155">
        <v>5.5478304656780981</v>
      </c>
      <c r="I47" s="154" t="s">
        <v>508</v>
      </c>
      <c r="J47" s="155">
        <v>9.564487926907983</v>
      </c>
      <c r="K47" s="154" t="s">
        <v>508</v>
      </c>
      <c r="L47" s="206"/>
    </row>
    <row r="48" spans="1:12" s="142" customFormat="1" ht="12.75" customHeight="1" x14ac:dyDescent="0.25">
      <c r="A48" s="151"/>
      <c r="B48" s="152" t="s">
        <v>3</v>
      </c>
      <c r="C48" s="219"/>
      <c r="D48" s="155">
        <v>18.082262310642399</v>
      </c>
      <c r="E48" s="154" t="s">
        <v>508</v>
      </c>
      <c r="F48" s="155">
        <v>3.6403742303389572</v>
      </c>
      <c r="G48" s="154" t="s">
        <v>508</v>
      </c>
      <c r="H48" s="155">
        <v>5.2766407654710781</v>
      </c>
      <c r="I48" s="154" t="s">
        <v>508</v>
      </c>
      <c r="J48" s="155">
        <v>9.1652473148323637</v>
      </c>
      <c r="K48" s="154" t="s">
        <v>508</v>
      </c>
      <c r="L48" s="206"/>
    </row>
    <row r="49" spans="1:27" s="142" customFormat="1" ht="12.75" customHeight="1" x14ac:dyDescent="0.25">
      <c r="A49" s="151"/>
      <c r="B49" s="152" t="s">
        <v>4</v>
      </c>
      <c r="C49" s="219"/>
      <c r="D49" s="155">
        <v>17.640321170388493</v>
      </c>
      <c r="E49" s="154" t="s">
        <v>508</v>
      </c>
      <c r="F49" s="155">
        <v>3.4763306420676288</v>
      </c>
      <c r="G49" s="318" t="s">
        <v>508</v>
      </c>
      <c r="H49" s="155">
        <v>5.3038998593868687</v>
      </c>
      <c r="I49" s="319" t="s">
        <v>508</v>
      </c>
      <c r="J49" s="155">
        <v>8.860090668933994</v>
      </c>
      <c r="K49" s="154" t="s">
        <v>508</v>
      </c>
      <c r="L49" s="206"/>
    </row>
    <row r="50" spans="1:27" s="142" customFormat="1" ht="12.75" customHeight="1" x14ac:dyDescent="0.25">
      <c r="A50" s="151"/>
      <c r="B50" s="152"/>
      <c r="C50" s="219"/>
      <c r="D50" s="155"/>
      <c r="E50" s="154"/>
      <c r="F50" s="155"/>
      <c r="G50" s="318"/>
      <c r="H50" s="155"/>
      <c r="I50" s="319"/>
      <c r="J50" s="155"/>
      <c r="K50" s="154"/>
      <c r="L50" s="206"/>
    </row>
    <row r="51" spans="1:27" s="142" customFormat="1" ht="12.75" customHeight="1" x14ac:dyDescent="0.25">
      <c r="A51" s="151">
        <v>2016</v>
      </c>
      <c r="B51" s="152" t="s">
        <v>1</v>
      </c>
      <c r="C51" s="219"/>
      <c r="D51" s="155">
        <v>17.589072676124559</v>
      </c>
      <c r="E51" s="154" t="s">
        <v>508</v>
      </c>
      <c r="F51" s="155">
        <v>3.3312422031081428</v>
      </c>
      <c r="G51" s="318" t="s">
        <v>508</v>
      </c>
      <c r="H51" s="155">
        <v>5.4040735108781144</v>
      </c>
      <c r="I51" s="319" t="s">
        <v>508</v>
      </c>
      <c r="J51" s="155">
        <v>8.8537569621383003</v>
      </c>
      <c r="K51" s="154" t="s">
        <v>508</v>
      </c>
      <c r="L51" s="206"/>
    </row>
    <row r="52" spans="1:27" s="142" customFormat="1" ht="12.75" customHeight="1" x14ac:dyDescent="0.25">
      <c r="A52" s="151"/>
      <c r="B52" s="152" t="s">
        <v>2</v>
      </c>
      <c r="C52" s="219" t="s">
        <v>197</v>
      </c>
      <c r="D52" s="155">
        <v>18.449046018089824</v>
      </c>
      <c r="E52" s="154" t="s">
        <v>280</v>
      </c>
      <c r="F52" s="155">
        <v>3.2614840849287483</v>
      </c>
      <c r="G52" s="318" t="s">
        <v>508</v>
      </c>
      <c r="H52" s="155">
        <v>5.5912092025977262</v>
      </c>
      <c r="I52" s="319" t="s">
        <v>508</v>
      </c>
      <c r="J52" s="155">
        <v>9.596352730563348</v>
      </c>
      <c r="K52" s="154" t="s">
        <v>508</v>
      </c>
      <c r="L52" s="206"/>
    </row>
    <row r="53" spans="1:27" s="142" customFormat="1" ht="12.75" customHeight="1" x14ac:dyDescent="0.25">
      <c r="A53" s="151"/>
      <c r="B53" s="152" t="s">
        <v>3</v>
      </c>
      <c r="C53" s="219" t="s">
        <v>197</v>
      </c>
      <c r="D53" s="155">
        <v>19.355741845796143</v>
      </c>
      <c r="E53" s="154" t="s">
        <v>508</v>
      </c>
      <c r="F53" s="155">
        <v>3.2609103521886187</v>
      </c>
      <c r="G53" s="318" t="s">
        <v>508</v>
      </c>
      <c r="H53" s="155">
        <v>5.7670893472922664</v>
      </c>
      <c r="I53" s="319" t="s">
        <v>508</v>
      </c>
      <c r="J53" s="155">
        <v>10.327742146315259</v>
      </c>
      <c r="K53" s="154" t="s">
        <v>280</v>
      </c>
      <c r="L53" s="206"/>
    </row>
    <row r="54" spans="1:27" s="142" customFormat="1" ht="12.75" customHeight="1" x14ac:dyDescent="0.25">
      <c r="A54" s="152"/>
      <c r="B54" s="152" t="s">
        <v>4</v>
      </c>
      <c r="C54" s="219" t="s">
        <v>197</v>
      </c>
      <c r="D54" s="155">
        <v>19.713662741497206</v>
      </c>
      <c r="E54" s="154" t="s">
        <v>280</v>
      </c>
      <c r="F54" s="155">
        <v>3.2644723854700133</v>
      </c>
      <c r="G54" s="318" t="s">
        <v>508</v>
      </c>
      <c r="H54" s="155">
        <v>5.6987950559624458</v>
      </c>
      <c r="I54" s="319" t="s">
        <v>508</v>
      </c>
      <c r="J54" s="155">
        <v>10.750395300064749</v>
      </c>
      <c r="K54" s="154" t="s">
        <v>508</v>
      </c>
      <c r="L54" s="206"/>
    </row>
    <row r="55" spans="1:27" s="142" customFormat="1" ht="12.75" customHeight="1" x14ac:dyDescent="0.25">
      <c r="A55" s="151"/>
      <c r="B55" s="152"/>
      <c r="C55" s="219"/>
      <c r="D55" s="155"/>
      <c r="E55" s="154"/>
      <c r="F55" s="155"/>
      <c r="G55" s="154"/>
      <c r="H55" s="155"/>
      <c r="I55" s="154"/>
      <c r="J55" s="155"/>
      <c r="K55" s="154"/>
      <c r="L55" s="206"/>
    </row>
    <row r="56" spans="1:27" s="142" customFormat="1" ht="12.75" customHeight="1" x14ac:dyDescent="0.25">
      <c r="A56" s="151">
        <v>2017</v>
      </c>
      <c r="B56" s="152" t="s">
        <v>1</v>
      </c>
      <c r="C56" s="219" t="s">
        <v>197</v>
      </c>
      <c r="D56" s="155">
        <v>20.335743662016785</v>
      </c>
      <c r="E56" s="154" t="s">
        <v>508</v>
      </c>
      <c r="F56" s="155">
        <v>3.3228467044636951</v>
      </c>
      <c r="G56" s="154" t="s">
        <v>508</v>
      </c>
      <c r="H56" s="155">
        <v>5.5571858921348332</v>
      </c>
      <c r="I56" s="154" t="s">
        <v>508</v>
      </c>
      <c r="J56" s="155">
        <v>11.455711065418258</v>
      </c>
      <c r="K56" s="154" t="s">
        <v>508</v>
      </c>
      <c r="L56" s="206"/>
      <c r="AA56" s="142" t="s">
        <v>508</v>
      </c>
    </row>
    <row r="57" spans="1:27" s="142" customFormat="1" ht="12.75" customHeight="1" thickBot="1" x14ac:dyDescent="0.3">
      <c r="A57" s="152"/>
      <c r="B57" s="156"/>
      <c r="C57" s="220"/>
      <c r="D57" s="155"/>
      <c r="E57" s="154"/>
      <c r="F57" s="155"/>
      <c r="G57" s="154"/>
      <c r="H57" s="155"/>
      <c r="I57" s="154"/>
      <c r="J57" s="155"/>
      <c r="K57" s="154"/>
      <c r="L57" s="206"/>
    </row>
    <row r="58" spans="1:27" s="142" customFormat="1" ht="12.75" customHeight="1" x14ac:dyDescent="0.2">
      <c r="A58" s="159" t="s">
        <v>511</v>
      </c>
      <c r="B58" s="159"/>
      <c r="C58" s="221"/>
      <c r="D58" s="201"/>
      <c r="E58" s="221"/>
      <c r="F58" s="201"/>
      <c r="G58" s="221"/>
      <c r="H58" s="201"/>
      <c r="I58" s="221"/>
      <c r="J58" s="201"/>
      <c r="K58" s="221"/>
      <c r="L58" s="207"/>
    </row>
    <row r="59" spans="1:27" s="142" customFormat="1" ht="12.75" customHeight="1" x14ac:dyDescent="0.2">
      <c r="A59" s="160"/>
      <c r="B59" s="160"/>
      <c r="C59" s="161"/>
      <c r="D59" s="202"/>
      <c r="E59" s="161"/>
      <c r="F59" s="202"/>
      <c r="G59" s="161"/>
      <c r="H59" s="202"/>
      <c r="I59" s="161"/>
      <c r="J59" s="202"/>
      <c r="K59" s="161"/>
      <c r="L59" s="208"/>
    </row>
    <row r="60" spans="1:27" s="142" customFormat="1" ht="12.75" customHeight="1" x14ac:dyDescent="0.2">
      <c r="A60" s="162">
        <v>2016</v>
      </c>
      <c r="B60" s="163" t="s">
        <v>4</v>
      </c>
      <c r="C60" s="222"/>
      <c r="D60" s="203">
        <v>0.62208092051957919</v>
      </c>
      <c r="E60" s="161"/>
      <c r="F60" s="203">
        <v>5.837431899368184E-2</v>
      </c>
      <c r="G60" s="161"/>
      <c r="H60" s="203">
        <v>-0.14160916382761268</v>
      </c>
      <c r="I60" s="161"/>
      <c r="J60" s="203">
        <v>0.70531576535350915</v>
      </c>
      <c r="K60" s="161"/>
      <c r="L60" s="209"/>
    </row>
    <row r="61" spans="1:27" s="142" customFormat="1" ht="12.75" customHeight="1" x14ac:dyDescent="0.2">
      <c r="A61" s="165"/>
      <c r="B61" s="166"/>
      <c r="C61" s="223"/>
      <c r="D61" s="204"/>
      <c r="E61" s="281"/>
      <c r="F61" s="204"/>
      <c r="G61" s="281"/>
      <c r="H61" s="204"/>
      <c r="I61" s="281"/>
      <c r="J61" s="204"/>
      <c r="K61" s="281"/>
      <c r="L61" s="210"/>
    </row>
    <row r="62" spans="1:27" s="142" customFormat="1" ht="12.75" customHeight="1" thickBot="1" x14ac:dyDescent="0.25">
      <c r="A62" s="157">
        <v>2016</v>
      </c>
      <c r="B62" s="158" t="s">
        <v>1</v>
      </c>
      <c r="C62" s="224"/>
      <c r="D62" s="205">
        <v>2.7466709858922265</v>
      </c>
      <c r="E62" s="282"/>
      <c r="F62" s="205">
        <v>-8.3954986444476631E-3</v>
      </c>
      <c r="G62" s="282"/>
      <c r="H62" s="205">
        <v>0.15311238125671878</v>
      </c>
      <c r="I62" s="282"/>
      <c r="J62" s="205">
        <v>2.601954103279958</v>
      </c>
      <c r="K62" s="282"/>
      <c r="L62" s="211"/>
    </row>
    <row r="63" spans="1:27" s="169" customFormat="1" ht="12.75" customHeight="1" x14ac:dyDescent="0.2">
      <c r="A63" s="342"/>
      <c r="B63" s="342"/>
      <c r="C63" s="342"/>
      <c r="D63" s="342"/>
      <c r="E63" s="342"/>
      <c r="F63" s="342"/>
      <c r="G63" s="342"/>
      <c r="H63" s="342"/>
      <c r="I63" s="342"/>
      <c r="J63" s="342"/>
      <c r="K63" s="342"/>
    </row>
    <row r="64" spans="1:27" s="169" customFormat="1" ht="46.5" customHeight="1" x14ac:dyDescent="0.2">
      <c r="A64" s="340" t="s">
        <v>243</v>
      </c>
      <c r="B64" s="340"/>
      <c r="C64" s="340"/>
      <c r="D64" s="340"/>
      <c r="E64" s="340"/>
      <c r="F64" s="340"/>
      <c r="G64" s="340"/>
      <c r="H64" s="340"/>
      <c r="I64" s="340"/>
      <c r="J64" s="340"/>
      <c r="K64" s="340"/>
    </row>
    <row r="65" spans="1:11" s="170" customFormat="1" ht="47.25" customHeight="1" x14ac:dyDescent="0.3">
      <c r="A65" s="345"/>
      <c r="B65" s="345"/>
      <c r="C65" s="345"/>
      <c r="D65" s="345"/>
      <c r="E65" s="345"/>
      <c r="F65" s="345"/>
      <c r="G65" s="345"/>
      <c r="H65" s="345"/>
      <c r="I65" s="345"/>
      <c r="J65" s="345"/>
      <c r="K65" s="345"/>
    </row>
    <row r="66" spans="1:11" s="171" customFormat="1" ht="15" x14ac:dyDescent="0.3">
      <c r="A66" s="345"/>
      <c r="B66" s="345"/>
      <c r="C66" s="345"/>
      <c r="D66" s="345"/>
      <c r="E66" s="345"/>
      <c r="F66" s="345"/>
      <c r="G66" s="345"/>
      <c r="H66" s="345"/>
      <c r="I66" s="345"/>
      <c r="J66" s="345"/>
      <c r="K66" s="345"/>
    </row>
    <row r="67" spans="1:11" s="171" customFormat="1" ht="27.75" customHeight="1" x14ac:dyDescent="0.3">
      <c r="A67" s="345"/>
      <c r="B67" s="345"/>
      <c r="C67" s="345"/>
      <c r="D67" s="345"/>
      <c r="E67" s="345"/>
      <c r="F67" s="345"/>
      <c r="G67" s="345"/>
      <c r="H67" s="345"/>
      <c r="I67" s="345"/>
      <c r="J67" s="345"/>
      <c r="K67" s="345"/>
    </row>
    <row r="68" spans="1:11" ht="12.75" customHeight="1" x14ac:dyDescent="0.3">
      <c r="A68" s="345"/>
      <c r="B68" s="345"/>
      <c r="C68" s="345"/>
      <c r="D68" s="345"/>
      <c r="E68" s="345"/>
      <c r="F68" s="345"/>
      <c r="G68" s="345"/>
      <c r="H68" s="345"/>
      <c r="I68" s="345"/>
      <c r="J68" s="345"/>
      <c r="K68" s="345"/>
    </row>
    <row r="69" spans="1:11" ht="12.75" customHeight="1" x14ac:dyDescent="0.3">
      <c r="A69" s="345"/>
      <c r="B69" s="345"/>
      <c r="C69" s="345"/>
      <c r="D69" s="345"/>
      <c r="E69" s="345"/>
      <c r="F69" s="345"/>
      <c r="G69" s="345"/>
      <c r="H69" s="345"/>
      <c r="I69" s="345"/>
      <c r="J69" s="345"/>
      <c r="K69" s="345"/>
    </row>
    <row r="70" spans="1:11" ht="12.75" customHeight="1" x14ac:dyDescent="0.3">
      <c r="A70" s="345"/>
      <c r="B70" s="345"/>
      <c r="C70" s="345"/>
      <c r="D70" s="345"/>
      <c r="E70" s="345"/>
      <c r="F70" s="345"/>
      <c r="G70" s="345"/>
      <c r="H70" s="345"/>
      <c r="I70" s="345"/>
      <c r="J70" s="345"/>
      <c r="K70" s="345"/>
    </row>
    <row r="71" spans="1:11" ht="12.75" customHeight="1" x14ac:dyDescent="0.3">
      <c r="A71" s="345"/>
      <c r="B71" s="345"/>
      <c r="C71" s="345"/>
      <c r="D71" s="345"/>
      <c r="E71" s="345"/>
      <c r="F71" s="345"/>
      <c r="G71" s="345"/>
      <c r="H71" s="345"/>
      <c r="I71" s="345"/>
      <c r="J71" s="345"/>
      <c r="K71" s="345"/>
    </row>
    <row r="72" spans="1:11" ht="12.75" customHeight="1" x14ac:dyDescent="0.3">
      <c r="A72" s="345"/>
      <c r="B72" s="345"/>
      <c r="C72" s="345"/>
      <c r="D72" s="345"/>
      <c r="E72" s="345"/>
      <c r="F72" s="345"/>
      <c r="G72" s="345"/>
      <c r="H72" s="345"/>
      <c r="I72" s="345"/>
      <c r="J72" s="345"/>
      <c r="K72" s="345"/>
    </row>
    <row r="73" spans="1:11" ht="12.75" customHeight="1" x14ac:dyDescent="0.3">
      <c r="A73" s="345"/>
      <c r="B73" s="345"/>
      <c r="C73" s="345"/>
      <c r="D73" s="345"/>
      <c r="E73" s="345"/>
      <c r="F73" s="345"/>
      <c r="G73" s="345"/>
      <c r="H73" s="345"/>
      <c r="I73" s="345"/>
      <c r="J73" s="345"/>
      <c r="K73" s="345"/>
    </row>
  </sheetData>
  <dataConsolidate/>
  <mergeCells count="16">
    <mergeCell ref="A63:K63"/>
    <mergeCell ref="J4:K4"/>
    <mergeCell ref="D5:E5"/>
    <mergeCell ref="F5:G5"/>
    <mergeCell ref="H5:I5"/>
    <mergeCell ref="J5:K5"/>
    <mergeCell ref="A70:K70"/>
    <mergeCell ref="A71:K71"/>
    <mergeCell ref="A72:K72"/>
    <mergeCell ref="A73:K73"/>
    <mergeCell ref="A64:K64"/>
    <mergeCell ref="A65:K65"/>
    <mergeCell ref="A66:K66"/>
    <mergeCell ref="A67:K67"/>
    <mergeCell ref="A68:K68"/>
    <mergeCell ref="A69:K69"/>
  </mergeCells>
  <hyperlinks>
    <hyperlink ref="A3" location="'Table Contents'!A1" display="Back to contents"/>
  </hyperlinks>
  <printOptions horizontalCentered="1" verticalCentered="1" gridLinesSet="0"/>
  <pageMargins left="0.19685039370078741" right="0.19685039370078741" top="0.19685039370078741" bottom="0.19685039370078741" header="0.39370078740157483" footer="0.39370078740157483"/>
  <pageSetup paperSize="9" scale="45" orientation="portrait" horizontalDpi="300" verticalDpi="4294967292"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AA87"/>
  <sheetViews>
    <sheetView showGridLines="0" zoomScaleNormal="100" workbookViewId="0">
      <pane xSplit="3" ySplit="6" topLeftCell="D7" activePane="bottomRight" state="frozen"/>
      <selection activeCell="AA2" sqref="AA2"/>
      <selection pane="topRight" activeCell="AA2" sqref="AA2"/>
      <selection pane="bottomLeft" activeCell="AA2" sqref="AA2"/>
      <selection pane="bottomRight" activeCell="D7" sqref="D7"/>
    </sheetView>
  </sheetViews>
  <sheetFormatPr defaultColWidth="8.85546875" defaultRowHeight="12.75" customHeight="1" x14ac:dyDescent="0.3"/>
  <cols>
    <col min="1" max="1" width="7.42578125" style="131" customWidth="1"/>
    <col min="2" max="2" width="4.85546875" style="131" customWidth="1"/>
    <col min="3" max="3" width="4.85546875" style="174" customWidth="1"/>
    <col min="4" max="4" width="12.7109375" style="172" customWidth="1"/>
    <col min="5" max="5" width="3.85546875" style="174" customWidth="1"/>
    <col min="6" max="6" width="12.7109375" style="172" customWidth="1"/>
    <col min="7" max="7" width="3.85546875" style="174" customWidth="1"/>
    <col min="8" max="8" width="13.28515625" style="173" customWidth="1"/>
    <col min="9" max="9" width="5.5703125" style="174" customWidth="1"/>
    <col min="10" max="16384" width="8.85546875" style="134"/>
  </cols>
  <sheetData>
    <row r="1" spans="1:13" ht="12.75" customHeight="1" x14ac:dyDescent="0.3">
      <c r="B1" s="132"/>
      <c r="C1" s="133"/>
      <c r="D1" s="132"/>
      <c r="E1" s="133"/>
      <c r="F1" s="132"/>
      <c r="G1" s="133"/>
      <c r="H1" s="132"/>
      <c r="I1" s="133"/>
    </row>
    <row r="2" spans="1:13" s="136" customFormat="1" ht="31.5" customHeight="1" x14ac:dyDescent="0.3">
      <c r="A2" s="193" t="s">
        <v>173</v>
      </c>
      <c r="B2" s="194"/>
      <c r="C2" s="194"/>
      <c r="D2" s="195" t="s">
        <v>245</v>
      </c>
      <c r="E2" s="133"/>
      <c r="F2" s="132"/>
      <c r="G2" s="133"/>
      <c r="H2" s="132"/>
      <c r="I2" s="133"/>
      <c r="J2" s="132"/>
      <c r="K2" s="132"/>
    </row>
    <row r="3" spans="1:13" s="136" customFormat="1" ht="19.5" x14ac:dyDescent="0.3">
      <c r="A3" s="196" t="s">
        <v>154</v>
      </c>
      <c r="B3" s="197"/>
      <c r="C3" s="214"/>
      <c r="D3" s="198" t="s">
        <v>246</v>
      </c>
      <c r="E3" s="283"/>
      <c r="F3" s="188"/>
      <c r="G3" s="283"/>
      <c r="H3" s="188"/>
      <c r="I3" s="283"/>
      <c r="J3" s="132"/>
      <c r="K3" s="132"/>
    </row>
    <row r="4" spans="1:13" ht="10.5" customHeight="1" thickBot="1" x14ac:dyDescent="0.35">
      <c r="A4" s="137"/>
      <c r="B4" s="137"/>
      <c r="C4" s="215"/>
      <c r="D4" s="137"/>
      <c r="E4" s="215"/>
      <c r="F4" s="137"/>
      <c r="G4" s="215"/>
      <c r="H4" s="337"/>
      <c r="I4" s="337"/>
    </row>
    <row r="5" spans="1:13" ht="30.75" customHeight="1" thickBot="1" x14ac:dyDescent="0.35">
      <c r="A5" s="233"/>
      <c r="B5" s="233"/>
      <c r="C5" s="234"/>
      <c r="D5" s="349" t="s">
        <v>176</v>
      </c>
      <c r="E5" s="349"/>
      <c r="F5" s="348" t="s">
        <v>174</v>
      </c>
      <c r="G5" s="348"/>
      <c r="H5" s="348"/>
      <c r="I5" s="348"/>
    </row>
    <row r="6" spans="1:13" s="141" customFormat="1" ht="19.5" customHeight="1" thickBot="1" x14ac:dyDescent="0.35">
      <c r="A6" s="229"/>
      <c r="B6" s="230" t="s">
        <v>140</v>
      </c>
      <c r="C6" s="235"/>
      <c r="D6" s="350"/>
      <c r="E6" s="350"/>
      <c r="F6" s="348" t="s">
        <v>495</v>
      </c>
      <c r="G6" s="348"/>
      <c r="H6" s="347" t="s">
        <v>496</v>
      </c>
      <c r="I6" s="347"/>
    </row>
    <row r="7" spans="1:13" s="146" customFormat="1" ht="12.75" customHeight="1" x14ac:dyDescent="0.25">
      <c r="A7" s="143">
        <v>2007</v>
      </c>
      <c r="B7" s="143"/>
      <c r="C7" s="213"/>
      <c r="D7" s="144">
        <v>64480</v>
      </c>
      <c r="E7" s="145" t="s">
        <v>508</v>
      </c>
      <c r="F7" s="144">
        <v>10046.999999999989</v>
      </c>
      <c r="G7" s="145" t="s">
        <v>508</v>
      </c>
      <c r="H7" s="144">
        <v>54433</v>
      </c>
      <c r="I7" s="145" t="s">
        <v>508</v>
      </c>
    </row>
    <row r="8" spans="1:13" s="146" customFormat="1" ht="12.75" customHeight="1" x14ac:dyDescent="0.25">
      <c r="A8" s="143">
        <v>2008</v>
      </c>
      <c r="B8" s="143"/>
      <c r="C8" s="213"/>
      <c r="D8" s="144">
        <v>67428</v>
      </c>
      <c r="E8" s="145" t="s">
        <v>508</v>
      </c>
      <c r="F8" s="144">
        <v>10828</v>
      </c>
      <c r="G8" s="145" t="s">
        <v>508</v>
      </c>
      <c r="H8" s="144">
        <v>56600</v>
      </c>
      <c r="I8" s="145" t="s">
        <v>508</v>
      </c>
    </row>
    <row r="9" spans="1:13" s="146" customFormat="1" ht="12.75" customHeight="1" x14ac:dyDescent="0.25">
      <c r="A9" s="143">
        <v>2009</v>
      </c>
      <c r="B9" s="143"/>
      <c r="C9" s="213"/>
      <c r="D9" s="144">
        <v>74671</v>
      </c>
      <c r="E9" s="145" t="s">
        <v>508</v>
      </c>
      <c r="F9" s="144">
        <v>10866.000000000009</v>
      </c>
      <c r="G9" s="145" t="s">
        <v>508</v>
      </c>
      <c r="H9" s="144">
        <v>63803.999999999993</v>
      </c>
      <c r="I9" s="145" t="s">
        <v>508</v>
      </c>
    </row>
    <row r="10" spans="1:13" s="146" customFormat="1" ht="12.75" customHeight="1" x14ac:dyDescent="0.25">
      <c r="A10" s="143">
        <v>2010</v>
      </c>
      <c r="B10" s="143"/>
      <c r="C10" s="213"/>
      <c r="D10" s="144">
        <v>59173</v>
      </c>
      <c r="E10" s="145" t="s">
        <v>508</v>
      </c>
      <c r="F10" s="144">
        <v>8542</v>
      </c>
      <c r="G10" s="145" t="s">
        <v>508</v>
      </c>
      <c r="H10" s="144">
        <v>50631</v>
      </c>
      <c r="I10" s="145" t="s">
        <v>508</v>
      </c>
    </row>
    <row r="11" spans="1:13" s="146" customFormat="1" ht="12.75" customHeight="1" x14ac:dyDescent="0.25">
      <c r="A11" s="143">
        <v>2011</v>
      </c>
      <c r="B11" s="143"/>
      <c r="C11" s="213"/>
      <c r="D11" s="144">
        <v>41875.999999999942</v>
      </c>
      <c r="E11" s="145" t="s">
        <v>508</v>
      </c>
      <c r="F11" s="144">
        <v>7803.0000000000091</v>
      </c>
      <c r="G11" s="145" t="s">
        <v>508</v>
      </c>
      <c r="H11" s="144">
        <v>34073</v>
      </c>
      <c r="I11" s="145" t="s">
        <v>508</v>
      </c>
    </row>
    <row r="12" spans="1:13" s="146" customFormat="1" ht="12.75" customHeight="1" x14ac:dyDescent="0.25">
      <c r="A12" s="143">
        <v>2012</v>
      </c>
      <c r="B12" s="143"/>
      <c r="C12" s="213"/>
      <c r="D12" s="144">
        <v>31787.000000000011</v>
      </c>
      <c r="E12" s="145" t="s">
        <v>508</v>
      </c>
      <c r="F12" s="144">
        <v>6595</v>
      </c>
      <c r="G12" s="145" t="s">
        <v>508</v>
      </c>
      <c r="H12" s="144">
        <v>25192</v>
      </c>
      <c r="I12" s="145" t="s">
        <v>508</v>
      </c>
    </row>
    <row r="13" spans="1:13" s="146" customFormat="1" ht="12.75" customHeight="1" x14ac:dyDescent="0.25">
      <c r="A13" s="143">
        <v>2013</v>
      </c>
      <c r="B13" s="143"/>
      <c r="C13" s="213"/>
      <c r="D13" s="144">
        <v>24570.999999999993</v>
      </c>
      <c r="E13" s="145" t="s">
        <v>508</v>
      </c>
      <c r="F13" s="144">
        <v>5377</v>
      </c>
      <c r="G13" s="145" t="s">
        <v>508</v>
      </c>
      <c r="H13" s="144">
        <v>19193.999999999989</v>
      </c>
      <c r="I13" s="145" t="s">
        <v>508</v>
      </c>
    </row>
    <row r="14" spans="1:13" s="146" customFormat="1" ht="12.75" customHeight="1" x14ac:dyDescent="0.25">
      <c r="A14" s="143">
        <v>2014</v>
      </c>
      <c r="B14" s="143"/>
      <c r="C14" s="213"/>
      <c r="D14" s="144">
        <v>20345</v>
      </c>
      <c r="E14" s="145" t="s">
        <v>508</v>
      </c>
      <c r="F14" s="144">
        <v>4782</v>
      </c>
      <c r="G14" s="145" t="s">
        <v>508</v>
      </c>
      <c r="H14" s="144">
        <v>15563</v>
      </c>
      <c r="I14" s="145" t="s">
        <v>508</v>
      </c>
    </row>
    <row r="15" spans="1:13" s="146" customFormat="1" ht="12.75" customHeight="1" x14ac:dyDescent="0.25">
      <c r="A15" s="143">
        <v>2015</v>
      </c>
      <c r="B15" s="143"/>
      <c r="C15" s="213"/>
      <c r="D15" s="144">
        <v>15844.999999999991</v>
      </c>
      <c r="E15" s="145" t="s">
        <v>508</v>
      </c>
      <c r="F15" s="144">
        <v>4405</v>
      </c>
      <c r="G15" s="145" t="s">
        <v>508</v>
      </c>
      <c r="H15" s="144">
        <v>11440</v>
      </c>
      <c r="I15" s="145" t="s">
        <v>508</v>
      </c>
      <c r="M15" s="147"/>
    </row>
    <row r="16" spans="1:13" s="146" customFormat="1" ht="12.75" customHeight="1" x14ac:dyDescent="0.25">
      <c r="A16" s="143">
        <v>2016</v>
      </c>
      <c r="B16" s="213" t="s">
        <v>508</v>
      </c>
      <c r="D16" s="144">
        <v>15006.000000000009</v>
      </c>
      <c r="E16" s="145" t="s">
        <v>280</v>
      </c>
      <c r="F16" s="144">
        <v>3863.9999999999977</v>
      </c>
      <c r="G16" s="145" t="s">
        <v>280</v>
      </c>
      <c r="H16" s="144">
        <v>11142</v>
      </c>
      <c r="I16" s="145" t="s">
        <v>280</v>
      </c>
    </row>
    <row r="17" spans="1:9" s="142" customFormat="1" ht="12.75" customHeight="1" x14ac:dyDescent="0.25">
      <c r="A17" s="148"/>
      <c r="B17" s="148"/>
      <c r="C17" s="218"/>
      <c r="D17" s="149"/>
      <c r="E17" s="154"/>
      <c r="F17" s="149"/>
      <c r="G17" s="154"/>
      <c r="H17" s="149"/>
      <c r="I17" s="154"/>
    </row>
    <row r="18" spans="1:9" s="142" customFormat="1" ht="12.75" customHeight="1" x14ac:dyDescent="0.25">
      <c r="A18" s="151">
        <v>2007</v>
      </c>
      <c r="B18" s="152" t="s">
        <v>1</v>
      </c>
      <c r="C18" s="219"/>
      <c r="D18" s="153">
        <v>16742</v>
      </c>
      <c r="E18" s="154" t="s">
        <v>508</v>
      </c>
      <c r="F18" s="153">
        <v>2465.9767803709001</v>
      </c>
      <c r="G18" s="154" t="s">
        <v>508</v>
      </c>
      <c r="H18" s="153">
        <v>14195.37833822</v>
      </c>
      <c r="I18" s="154" t="s">
        <v>508</v>
      </c>
    </row>
    <row r="19" spans="1:9" s="142" customFormat="1" ht="12.75" customHeight="1" x14ac:dyDescent="0.25">
      <c r="A19" s="151"/>
      <c r="B19" s="152" t="s">
        <v>2</v>
      </c>
      <c r="C19" s="219"/>
      <c r="D19" s="153">
        <v>16493</v>
      </c>
      <c r="E19" s="154" t="s">
        <v>508</v>
      </c>
      <c r="F19" s="153">
        <v>2620.7044415001201</v>
      </c>
      <c r="G19" s="154" t="s">
        <v>508</v>
      </c>
      <c r="H19" s="153">
        <v>13939.7423998301</v>
      </c>
      <c r="I19" s="154" t="s">
        <v>508</v>
      </c>
    </row>
    <row r="20" spans="1:9" s="142" customFormat="1" ht="12.75" customHeight="1" x14ac:dyDescent="0.25">
      <c r="A20" s="151"/>
      <c r="B20" s="152" t="s">
        <v>3</v>
      </c>
      <c r="C20" s="219"/>
      <c r="D20" s="153">
        <v>15934</v>
      </c>
      <c r="E20" s="154" t="s">
        <v>508</v>
      </c>
      <c r="F20" s="153">
        <v>2471.0630402977899</v>
      </c>
      <c r="G20" s="154" t="s">
        <v>508</v>
      </c>
      <c r="H20" s="153">
        <v>13516.1410443526</v>
      </c>
      <c r="I20" s="154" t="s">
        <v>508</v>
      </c>
    </row>
    <row r="21" spans="1:9" s="142" customFormat="1" ht="12.75" customHeight="1" x14ac:dyDescent="0.25">
      <c r="A21" s="151"/>
      <c r="B21" s="152" t="s">
        <v>4</v>
      </c>
      <c r="C21" s="219"/>
      <c r="D21" s="153">
        <v>15311</v>
      </c>
      <c r="E21" s="154" t="s">
        <v>508</v>
      </c>
      <c r="F21" s="153">
        <v>2489.2557378311799</v>
      </c>
      <c r="G21" s="154" t="s">
        <v>508</v>
      </c>
      <c r="H21" s="153">
        <v>12781.7382175973</v>
      </c>
      <c r="I21" s="154" t="s">
        <v>508</v>
      </c>
    </row>
    <row r="22" spans="1:9" s="142" customFormat="1" ht="12.75" customHeight="1" x14ac:dyDescent="0.25">
      <c r="A22" s="151"/>
      <c r="B22" s="152"/>
      <c r="C22" s="219"/>
      <c r="D22" s="153"/>
      <c r="E22" s="154"/>
      <c r="F22" s="153"/>
      <c r="G22" s="154"/>
      <c r="H22" s="153"/>
      <c r="I22" s="154"/>
    </row>
    <row r="23" spans="1:9" s="142" customFormat="1" ht="12.75" customHeight="1" x14ac:dyDescent="0.25">
      <c r="A23" s="151">
        <v>2008</v>
      </c>
      <c r="B23" s="152" t="s">
        <v>1</v>
      </c>
      <c r="C23" s="219"/>
      <c r="D23" s="153">
        <v>15482</v>
      </c>
      <c r="E23" s="154" t="s">
        <v>508</v>
      </c>
      <c r="F23" s="153">
        <v>2598.7110853794502</v>
      </c>
      <c r="G23" s="154" t="s">
        <v>508</v>
      </c>
      <c r="H23" s="153">
        <v>12811.0322518756</v>
      </c>
      <c r="I23" s="154" t="s">
        <v>508</v>
      </c>
    </row>
    <row r="24" spans="1:9" s="142" customFormat="1" ht="12.75" customHeight="1" x14ac:dyDescent="0.25">
      <c r="A24" s="151"/>
      <c r="B24" s="152" t="s">
        <v>2</v>
      </c>
      <c r="C24" s="219"/>
      <c r="D24" s="153">
        <v>15536</v>
      </c>
      <c r="E24" s="154" t="s">
        <v>508</v>
      </c>
      <c r="F24" s="153">
        <v>2519.3622772792401</v>
      </c>
      <c r="G24" s="154" t="s">
        <v>508</v>
      </c>
      <c r="H24" s="153">
        <v>13095.535578020101</v>
      </c>
      <c r="I24" s="154" t="s">
        <v>508</v>
      </c>
    </row>
    <row r="25" spans="1:9" s="142" customFormat="1" ht="12.75" customHeight="1" x14ac:dyDescent="0.25">
      <c r="A25" s="151"/>
      <c r="B25" s="152" t="s">
        <v>3</v>
      </c>
      <c r="C25" s="219"/>
      <c r="D25" s="153">
        <v>17474</v>
      </c>
      <c r="E25" s="154" t="s">
        <v>508</v>
      </c>
      <c r="F25" s="153">
        <v>2831.4775834644502</v>
      </c>
      <c r="G25" s="154" t="s">
        <v>508</v>
      </c>
      <c r="H25" s="153">
        <v>14606.911428502201</v>
      </c>
      <c r="I25" s="154" t="s">
        <v>508</v>
      </c>
    </row>
    <row r="26" spans="1:9" s="142" customFormat="1" ht="12.75" customHeight="1" x14ac:dyDescent="0.25">
      <c r="A26" s="151"/>
      <c r="B26" s="152" t="s">
        <v>4</v>
      </c>
      <c r="C26" s="219"/>
      <c r="D26" s="153">
        <v>18936</v>
      </c>
      <c r="E26" s="154" t="s">
        <v>508</v>
      </c>
      <c r="F26" s="153">
        <v>2878.44905387686</v>
      </c>
      <c r="G26" s="154" t="s">
        <v>508</v>
      </c>
      <c r="H26" s="153">
        <v>16086.5207416021</v>
      </c>
      <c r="I26" s="154" t="s">
        <v>508</v>
      </c>
    </row>
    <row r="27" spans="1:9" s="142" customFormat="1" ht="12.75" customHeight="1" x14ac:dyDescent="0.25">
      <c r="A27" s="151"/>
      <c r="B27" s="152"/>
      <c r="C27" s="219"/>
      <c r="D27" s="153"/>
      <c r="E27" s="154"/>
      <c r="F27" s="153"/>
      <c r="G27" s="154"/>
      <c r="H27" s="153"/>
      <c r="I27" s="154"/>
    </row>
    <row r="28" spans="1:9" s="142" customFormat="1" ht="12.75" customHeight="1" x14ac:dyDescent="0.25">
      <c r="A28" s="151">
        <v>2009</v>
      </c>
      <c r="B28" s="152" t="s">
        <v>1</v>
      </c>
      <c r="C28" s="219"/>
      <c r="D28" s="153">
        <v>18958</v>
      </c>
      <c r="E28" s="154" t="s">
        <v>508</v>
      </c>
      <c r="F28" s="153">
        <v>2793.3496876921199</v>
      </c>
      <c r="G28" s="154" t="s">
        <v>508</v>
      </c>
      <c r="H28" s="153">
        <v>16191.5554864266</v>
      </c>
      <c r="I28" s="154" t="s">
        <v>508</v>
      </c>
    </row>
    <row r="29" spans="1:9" s="142" customFormat="1" ht="12.75" customHeight="1" x14ac:dyDescent="0.25">
      <c r="A29" s="151"/>
      <c r="B29" s="152" t="s">
        <v>2</v>
      </c>
      <c r="C29" s="219"/>
      <c r="D29" s="153">
        <v>19121</v>
      </c>
      <c r="E29" s="154" t="s">
        <v>508</v>
      </c>
      <c r="F29" s="153">
        <v>2712.1080442909501</v>
      </c>
      <c r="G29" s="154" t="s">
        <v>508</v>
      </c>
      <c r="H29" s="153">
        <v>16451.212722165099</v>
      </c>
      <c r="I29" s="154" t="s">
        <v>508</v>
      </c>
    </row>
    <row r="30" spans="1:9" s="142" customFormat="1" ht="12.75" customHeight="1" x14ac:dyDescent="0.25">
      <c r="A30" s="151"/>
      <c r="B30" s="152" t="s">
        <v>3</v>
      </c>
      <c r="C30" s="219"/>
      <c r="D30" s="153">
        <v>18659</v>
      </c>
      <c r="E30" s="154" t="s">
        <v>508</v>
      </c>
      <c r="F30" s="153">
        <v>2678.5990072114701</v>
      </c>
      <c r="G30" s="154" t="s">
        <v>508</v>
      </c>
      <c r="H30" s="153">
        <v>15969.595364615599</v>
      </c>
      <c r="I30" s="154" t="s">
        <v>508</v>
      </c>
    </row>
    <row r="31" spans="1:9" s="142" customFormat="1" ht="12.75" customHeight="1" x14ac:dyDescent="0.25">
      <c r="A31" s="151"/>
      <c r="B31" s="152" t="s">
        <v>4</v>
      </c>
      <c r="C31" s="219"/>
      <c r="D31" s="153">
        <v>17933</v>
      </c>
      <c r="E31" s="154" t="s">
        <v>508</v>
      </c>
      <c r="F31" s="153">
        <v>2681.9432608054699</v>
      </c>
      <c r="G31" s="154" t="s">
        <v>508</v>
      </c>
      <c r="H31" s="153">
        <v>15191.6364267927</v>
      </c>
      <c r="I31" s="154" t="s">
        <v>508</v>
      </c>
    </row>
    <row r="32" spans="1:9" s="142" customFormat="1" ht="12.75" customHeight="1" x14ac:dyDescent="0.25">
      <c r="A32" s="151"/>
      <c r="B32" s="152"/>
      <c r="C32" s="219"/>
      <c r="D32" s="153"/>
      <c r="E32" s="154"/>
      <c r="F32" s="153"/>
      <c r="G32" s="154"/>
      <c r="H32" s="153"/>
      <c r="I32" s="154"/>
    </row>
    <row r="33" spans="1:9" s="142" customFormat="1" ht="12.75" customHeight="1" x14ac:dyDescent="0.25">
      <c r="A33" s="151">
        <v>2010</v>
      </c>
      <c r="B33" s="152" t="s">
        <v>1</v>
      </c>
      <c r="C33" s="219"/>
      <c r="D33" s="153">
        <v>17058</v>
      </c>
      <c r="E33" s="154" t="s">
        <v>508</v>
      </c>
      <c r="F33" s="153">
        <v>2495.9280765246799</v>
      </c>
      <c r="G33" s="154" t="s">
        <v>508</v>
      </c>
      <c r="H33" s="153">
        <v>14634.7565180355</v>
      </c>
      <c r="I33" s="154" t="s">
        <v>508</v>
      </c>
    </row>
    <row r="34" spans="1:9" s="142" customFormat="1" ht="12.75" customHeight="1" x14ac:dyDescent="0.25">
      <c r="A34" s="151"/>
      <c r="B34" s="152" t="s">
        <v>2</v>
      </c>
      <c r="C34" s="219"/>
      <c r="D34" s="153">
        <v>15256</v>
      </c>
      <c r="E34" s="154" t="s">
        <v>508</v>
      </c>
      <c r="F34" s="153">
        <v>2198.0424373083201</v>
      </c>
      <c r="G34" s="154" t="s">
        <v>508</v>
      </c>
      <c r="H34" s="153">
        <v>13060.3755264806</v>
      </c>
      <c r="I34" s="154" t="s">
        <v>508</v>
      </c>
    </row>
    <row r="35" spans="1:9" s="142" customFormat="1" ht="12.75" customHeight="1" x14ac:dyDescent="0.25">
      <c r="A35" s="151"/>
      <c r="B35" s="152" t="s">
        <v>3</v>
      </c>
      <c r="C35" s="219"/>
      <c r="D35" s="153">
        <v>14155</v>
      </c>
      <c r="E35" s="154" t="s">
        <v>508</v>
      </c>
      <c r="F35" s="153">
        <v>2011.8516533198899</v>
      </c>
      <c r="G35" s="154" t="s">
        <v>508</v>
      </c>
      <c r="H35" s="153">
        <v>12021.788359337501</v>
      </c>
      <c r="I35" s="154" t="s">
        <v>508</v>
      </c>
    </row>
    <row r="36" spans="1:9" s="142" customFormat="1" ht="12.75" customHeight="1" x14ac:dyDescent="0.25">
      <c r="A36" s="151"/>
      <c r="B36" s="152" t="s">
        <v>4</v>
      </c>
      <c r="C36" s="219"/>
      <c r="D36" s="153">
        <v>12704</v>
      </c>
      <c r="E36" s="154" t="s">
        <v>508</v>
      </c>
      <c r="F36" s="153">
        <v>1836.17783284711</v>
      </c>
      <c r="G36" s="154" t="s">
        <v>508</v>
      </c>
      <c r="H36" s="153">
        <v>10914.079596146399</v>
      </c>
      <c r="I36" s="154" t="s">
        <v>508</v>
      </c>
    </row>
    <row r="37" spans="1:9" s="142" customFormat="1" ht="12.75" customHeight="1" x14ac:dyDescent="0.25">
      <c r="A37" s="151"/>
      <c r="B37" s="152"/>
      <c r="C37" s="219"/>
      <c r="D37" s="153"/>
      <c r="E37" s="154"/>
      <c r="F37" s="153"/>
      <c r="G37" s="154"/>
      <c r="H37" s="153"/>
      <c r="I37" s="154"/>
    </row>
    <row r="38" spans="1:9" s="142" customFormat="1" ht="12.75" customHeight="1" x14ac:dyDescent="0.25">
      <c r="A38" s="151">
        <v>2011</v>
      </c>
      <c r="B38" s="152" t="s">
        <v>1</v>
      </c>
      <c r="C38" s="219"/>
      <c r="D38" s="153">
        <v>11760.3355733227</v>
      </c>
      <c r="E38" s="154" t="s">
        <v>508</v>
      </c>
      <c r="F38" s="153">
        <v>1852.70565620038</v>
      </c>
      <c r="G38" s="154" t="s">
        <v>508</v>
      </c>
      <c r="H38" s="153">
        <v>9827.4824200327203</v>
      </c>
      <c r="I38" s="154" t="s">
        <v>508</v>
      </c>
    </row>
    <row r="39" spans="1:9" s="142" customFormat="1" ht="12.75" customHeight="1" x14ac:dyDescent="0.25">
      <c r="A39" s="151"/>
      <c r="B39" s="152" t="s">
        <v>2</v>
      </c>
      <c r="C39" s="219"/>
      <c r="D39" s="153">
        <v>11304.9546410033</v>
      </c>
      <c r="E39" s="154" t="s">
        <v>508</v>
      </c>
      <c r="F39" s="153">
        <v>1928.6794742474999</v>
      </c>
      <c r="G39" s="154" t="s">
        <v>508</v>
      </c>
      <c r="H39" s="153">
        <v>9369.3977565872701</v>
      </c>
      <c r="I39" s="154" t="s">
        <v>508</v>
      </c>
    </row>
    <row r="40" spans="1:9" s="142" customFormat="1" ht="12.75" customHeight="1" x14ac:dyDescent="0.25">
      <c r="A40" s="151"/>
      <c r="B40" s="152" t="s">
        <v>3</v>
      </c>
      <c r="C40" s="219"/>
      <c r="D40" s="153">
        <v>9689.7918014033694</v>
      </c>
      <c r="E40" s="154" t="s">
        <v>508</v>
      </c>
      <c r="F40" s="153">
        <v>1978.6326599631</v>
      </c>
      <c r="G40" s="154" t="s">
        <v>508</v>
      </c>
      <c r="H40" s="153">
        <v>7732.8287179324698</v>
      </c>
      <c r="I40" s="154" t="s">
        <v>508</v>
      </c>
    </row>
    <row r="41" spans="1:9" s="142" customFormat="1" ht="12.75" customHeight="1" x14ac:dyDescent="0.25">
      <c r="A41" s="151"/>
      <c r="B41" s="152" t="s">
        <v>4</v>
      </c>
      <c r="C41" s="219"/>
      <c r="D41" s="153">
        <v>9120.9179842705707</v>
      </c>
      <c r="E41" s="154" t="s">
        <v>508</v>
      </c>
      <c r="F41" s="153">
        <v>2042.9822095890299</v>
      </c>
      <c r="G41" s="154" t="s">
        <v>508</v>
      </c>
      <c r="H41" s="153">
        <v>7143.2911054475398</v>
      </c>
      <c r="I41" s="154" t="s">
        <v>508</v>
      </c>
    </row>
    <row r="42" spans="1:9" s="142" customFormat="1" ht="12.75" customHeight="1" x14ac:dyDescent="0.25">
      <c r="A42" s="151"/>
      <c r="B42" s="152"/>
      <c r="C42" s="219"/>
      <c r="D42" s="153"/>
      <c r="E42" s="154"/>
      <c r="F42" s="153"/>
      <c r="G42" s="154"/>
      <c r="H42" s="153"/>
      <c r="I42" s="154"/>
    </row>
    <row r="43" spans="1:9" s="142" customFormat="1" ht="12.75" customHeight="1" x14ac:dyDescent="0.25">
      <c r="A43" s="151">
        <v>2012</v>
      </c>
      <c r="B43" s="152" t="s">
        <v>1</v>
      </c>
      <c r="C43" s="219"/>
      <c r="D43" s="153">
        <v>8649.6575586789295</v>
      </c>
      <c r="E43" s="154" t="s">
        <v>508</v>
      </c>
      <c r="F43" s="153">
        <v>1840.4353716205701</v>
      </c>
      <c r="G43" s="154" t="s">
        <v>508</v>
      </c>
      <c r="H43" s="153">
        <v>6788.45018823599</v>
      </c>
      <c r="I43" s="154" t="s">
        <v>508</v>
      </c>
    </row>
    <row r="44" spans="1:9" s="142" customFormat="1" ht="12.75" customHeight="1" x14ac:dyDescent="0.25">
      <c r="A44" s="151"/>
      <c r="B44" s="152" t="s">
        <v>2</v>
      </c>
      <c r="C44" s="219"/>
      <c r="D44" s="153">
        <v>8158.4626641561499</v>
      </c>
      <c r="E44" s="154" t="s">
        <v>508</v>
      </c>
      <c r="F44" s="153">
        <v>1705.2492560897399</v>
      </c>
      <c r="G44" s="154" t="s">
        <v>508</v>
      </c>
      <c r="H44" s="153">
        <v>6455.4213229623701</v>
      </c>
      <c r="I44" s="154" t="s">
        <v>508</v>
      </c>
    </row>
    <row r="45" spans="1:9" s="142" customFormat="1" ht="12.75" customHeight="1" x14ac:dyDescent="0.25">
      <c r="A45" s="151"/>
      <c r="B45" s="152" t="s">
        <v>3</v>
      </c>
      <c r="C45" s="219"/>
      <c r="D45" s="153">
        <v>7680.8327716182102</v>
      </c>
      <c r="E45" s="154" t="s">
        <v>508</v>
      </c>
      <c r="F45" s="153">
        <v>1567.9929362687101</v>
      </c>
      <c r="G45" s="154" t="s">
        <v>508</v>
      </c>
      <c r="H45" s="153">
        <v>6169.1087931784696</v>
      </c>
      <c r="I45" s="154" t="s">
        <v>508</v>
      </c>
    </row>
    <row r="46" spans="1:9" s="142" customFormat="1" ht="12.75" customHeight="1" x14ac:dyDescent="0.25">
      <c r="A46" s="151"/>
      <c r="B46" s="152" t="s">
        <v>4</v>
      </c>
      <c r="C46" s="219"/>
      <c r="D46" s="153">
        <v>7298.0470055467204</v>
      </c>
      <c r="E46" s="154" t="s">
        <v>508</v>
      </c>
      <c r="F46" s="153">
        <v>1481.3224360209799</v>
      </c>
      <c r="G46" s="154" t="s">
        <v>508</v>
      </c>
      <c r="H46" s="153">
        <v>5779.0196956231703</v>
      </c>
      <c r="I46" s="154" t="s">
        <v>508</v>
      </c>
    </row>
    <row r="47" spans="1:9" s="142" customFormat="1" ht="12.75" customHeight="1" x14ac:dyDescent="0.25">
      <c r="A47" s="151"/>
      <c r="B47" s="152"/>
      <c r="C47" s="219"/>
      <c r="D47" s="153"/>
      <c r="E47" s="154"/>
      <c r="F47" s="153"/>
      <c r="G47" s="154"/>
      <c r="H47" s="153"/>
      <c r="I47" s="154"/>
    </row>
    <row r="48" spans="1:9" s="142" customFormat="1" ht="12.75" customHeight="1" x14ac:dyDescent="0.25">
      <c r="A48" s="151">
        <v>2013</v>
      </c>
      <c r="B48" s="152" t="s">
        <v>1</v>
      </c>
      <c r="C48" s="219"/>
      <c r="D48" s="153">
        <v>6615.4911052341704</v>
      </c>
      <c r="E48" s="154" t="s">
        <v>508</v>
      </c>
      <c r="F48" s="153">
        <v>1405.0759916511699</v>
      </c>
      <c r="G48" s="154" t="s">
        <v>508</v>
      </c>
      <c r="H48" s="153">
        <v>5269.00340900437</v>
      </c>
      <c r="I48" s="154" t="s">
        <v>508</v>
      </c>
    </row>
    <row r="49" spans="1:9" s="142" customFormat="1" ht="12.75" customHeight="1" x14ac:dyDescent="0.25">
      <c r="A49" s="151"/>
      <c r="B49" s="152" t="s">
        <v>2</v>
      </c>
      <c r="C49" s="219"/>
      <c r="D49" s="153">
        <v>6224.7030856189003</v>
      </c>
      <c r="E49" s="154" t="s">
        <v>508</v>
      </c>
      <c r="F49" s="153">
        <v>1351.58507711487</v>
      </c>
      <c r="G49" s="154" t="s">
        <v>508</v>
      </c>
      <c r="H49" s="153">
        <v>4884.5245379014996</v>
      </c>
      <c r="I49" s="154" t="s">
        <v>508</v>
      </c>
    </row>
    <row r="50" spans="1:9" s="142" customFormat="1" ht="12.75" customHeight="1" x14ac:dyDescent="0.25">
      <c r="A50" s="151"/>
      <c r="B50" s="152" t="s">
        <v>3</v>
      </c>
      <c r="C50" s="219"/>
      <c r="D50" s="153">
        <v>6017.9559364115403</v>
      </c>
      <c r="E50" s="154" t="s">
        <v>508</v>
      </c>
      <c r="F50" s="153">
        <v>1344.8115132118801</v>
      </c>
      <c r="G50" s="154" t="s">
        <v>508</v>
      </c>
      <c r="H50" s="153">
        <v>4632.5501055179602</v>
      </c>
      <c r="I50" s="154" t="s">
        <v>508</v>
      </c>
    </row>
    <row r="51" spans="1:9" s="142" customFormat="1" ht="12.75" customHeight="1" x14ac:dyDescent="0.25">
      <c r="A51" s="151"/>
      <c r="B51" s="152" t="s">
        <v>4</v>
      </c>
      <c r="C51" s="219"/>
      <c r="D51" s="153">
        <v>5712.8498727353799</v>
      </c>
      <c r="E51" s="154" t="s">
        <v>508</v>
      </c>
      <c r="F51" s="153">
        <v>1275.5274180220799</v>
      </c>
      <c r="G51" s="154" t="s">
        <v>508</v>
      </c>
      <c r="H51" s="153">
        <v>4407.9219475761602</v>
      </c>
      <c r="I51" s="154" t="s">
        <v>508</v>
      </c>
    </row>
    <row r="52" spans="1:9" s="142" customFormat="1" ht="12.75" customHeight="1" x14ac:dyDescent="0.25">
      <c r="A52" s="151"/>
      <c r="B52" s="152"/>
      <c r="C52" s="219"/>
      <c r="D52" s="153"/>
      <c r="E52" s="154"/>
      <c r="F52" s="153"/>
      <c r="G52" s="154"/>
      <c r="H52" s="153"/>
      <c r="I52" s="154"/>
    </row>
    <row r="53" spans="1:9" s="142" customFormat="1" ht="12.75" customHeight="1" x14ac:dyDescent="0.25">
      <c r="A53" s="151">
        <v>2014</v>
      </c>
      <c r="B53" s="152" t="s">
        <v>1</v>
      </c>
      <c r="C53" s="219"/>
      <c r="D53" s="153">
        <v>5405.2780227656503</v>
      </c>
      <c r="E53" s="154" t="s">
        <v>508</v>
      </c>
      <c r="F53" s="153">
        <v>1258.54628139083</v>
      </c>
      <c r="G53" s="154" t="s">
        <v>508</v>
      </c>
      <c r="H53" s="153">
        <v>4187.5315743150004</v>
      </c>
      <c r="I53" s="154" t="s">
        <v>508</v>
      </c>
    </row>
    <row r="54" spans="1:9" s="142" customFormat="1" ht="12.75" customHeight="1" x14ac:dyDescent="0.25">
      <c r="A54" s="151"/>
      <c r="B54" s="152" t="s">
        <v>2</v>
      </c>
      <c r="C54" s="219"/>
      <c r="D54" s="153">
        <v>5493.6928785475402</v>
      </c>
      <c r="E54" s="154" t="s">
        <v>508</v>
      </c>
      <c r="F54" s="153">
        <v>1335.29436075995</v>
      </c>
      <c r="G54" s="154" t="s">
        <v>508</v>
      </c>
      <c r="H54" s="153">
        <v>4144.7211432837703</v>
      </c>
      <c r="I54" s="154" t="s">
        <v>508</v>
      </c>
    </row>
    <row r="55" spans="1:9" s="142" customFormat="1" ht="12.75" customHeight="1" x14ac:dyDescent="0.25">
      <c r="A55" s="151"/>
      <c r="B55" s="152" t="s">
        <v>3</v>
      </c>
      <c r="C55" s="219"/>
      <c r="D55" s="153">
        <v>4910.5003458286001</v>
      </c>
      <c r="E55" s="154" t="s">
        <v>508</v>
      </c>
      <c r="F55" s="153">
        <v>1143.3956461519899</v>
      </c>
      <c r="G55" s="154" t="s">
        <v>508</v>
      </c>
      <c r="H55" s="153">
        <v>3734.95839326031</v>
      </c>
      <c r="I55" s="154" t="s">
        <v>508</v>
      </c>
    </row>
    <row r="56" spans="1:9" s="142" customFormat="1" ht="12.75" customHeight="1" x14ac:dyDescent="0.25">
      <c r="A56" s="151"/>
      <c r="B56" s="152" t="s">
        <v>4</v>
      </c>
      <c r="C56" s="219"/>
      <c r="D56" s="153">
        <v>4535.5287528582103</v>
      </c>
      <c r="E56" s="154" t="s">
        <v>508</v>
      </c>
      <c r="F56" s="153">
        <v>1044.7637116972301</v>
      </c>
      <c r="G56" s="154" t="s">
        <v>508</v>
      </c>
      <c r="H56" s="153">
        <v>3495.7888891409202</v>
      </c>
      <c r="I56" s="154" t="s">
        <v>508</v>
      </c>
    </row>
    <row r="57" spans="1:9" s="142" customFormat="1" ht="12.75" customHeight="1" x14ac:dyDescent="0.25">
      <c r="A57" s="151"/>
      <c r="B57" s="152"/>
      <c r="C57" s="219"/>
      <c r="D57" s="153"/>
      <c r="E57" s="154"/>
      <c r="F57" s="153"/>
      <c r="G57" s="154"/>
      <c r="H57" s="153"/>
      <c r="I57" s="154"/>
    </row>
    <row r="58" spans="1:9" s="142" customFormat="1" ht="12.75" customHeight="1" x14ac:dyDescent="0.25">
      <c r="A58" s="151">
        <v>2015</v>
      </c>
      <c r="B58" s="152" t="s">
        <v>1</v>
      </c>
      <c r="C58" s="219"/>
      <c r="D58" s="153">
        <v>4178.61989964647</v>
      </c>
      <c r="E58" s="154" t="s">
        <v>508</v>
      </c>
      <c r="F58" s="153">
        <v>1061.31377606054</v>
      </c>
      <c r="G58" s="154" t="s">
        <v>508</v>
      </c>
      <c r="H58" s="153">
        <v>3143.2248320574499</v>
      </c>
      <c r="I58" s="154" t="s">
        <v>508</v>
      </c>
    </row>
    <row r="59" spans="1:9" s="142" customFormat="1" ht="12.75" customHeight="1" x14ac:dyDescent="0.25">
      <c r="A59" s="151"/>
      <c r="B59" s="152" t="s">
        <v>2</v>
      </c>
      <c r="C59" s="219"/>
      <c r="D59" s="153">
        <v>3982.0681918810401</v>
      </c>
      <c r="E59" s="154" t="s">
        <v>508</v>
      </c>
      <c r="F59" s="153">
        <v>1076.4219731824801</v>
      </c>
      <c r="G59" s="154" t="s">
        <v>508</v>
      </c>
      <c r="H59" s="153">
        <v>2903.9837997320201</v>
      </c>
      <c r="I59" s="154" t="s">
        <v>508</v>
      </c>
    </row>
    <row r="60" spans="1:9" s="142" customFormat="1" ht="12.75" customHeight="1" x14ac:dyDescent="0.25">
      <c r="A60" s="151"/>
      <c r="B60" s="152" t="s">
        <v>3</v>
      </c>
      <c r="C60" s="219"/>
      <c r="D60" s="153">
        <v>3902.7725014163898</v>
      </c>
      <c r="E60" s="154" t="s">
        <v>508</v>
      </c>
      <c r="F60" s="153">
        <v>1124.9148754717201</v>
      </c>
      <c r="G60" s="154" t="s">
        <v>508</v>
      </c>
      <c r="H60" s="153">
        <v>2782.9238334104002</v>
      </c>
      <c r="I60" s="154" t="s">
        <v>508</v>
      </c>
    </row>
    <row r="61" spans="1:9" s="142" customFormat="1" ht="12.75" customHeight="1" x14ac:dyDescent="0.25">
      <c r="A61" s="151"/>
      <c r="B61" s="152" t="s">
        <v>4</v>
      </c>
      <c r="C61" s="219"/>
      <c r="D61" s="153">
        <v>3781.5394070560901</v>
      </c>
      <c r="E61" s="154" t="s">
        <v>508</v>
      </c>
      <c r="F61" s="153">
        <v>1142.3493752852601</v>
      </c>
      <c r="G61" s="154" t="s">
        <v>508</v>
      </c>
      <c r="H61" s="153">
        <v>2609.8675348001302</v>
      </c>
      <c r="I61" s="154" t="s">
        <v>508</v>
      </c>
    </row>
    <row r="62" spans="1:9" s="142" customFormat="1" ht="12.75" customHeight="1" x14ac:dyDescent="0.25">
      <c r="A62" s="151"/>
      <c r="B62" s="152"/>
      <c r="C62" s="219"/>
      <c r="D62" s="153"/>
      <c r="E62" s="154"/>
      <c r="F62" s="153"/>
      <c r="G62" s="154"/>
      <c r="H62" s="153"/>
      <c r="I62" s="154"/>
    </row>
    <row r="63" spans="1:9" s="142" customFormat="1" ht="12.75" customHeight="1" x14ac:dyDescent="0.25">
      <c r="A63" s="151">
        <v>2016</v>
      </c>
      <c r="B63" s="152" t="s">
        <v>1</v>
      </c>
      <c r="C63" s="219"/>
      <c r="D63" s="153">
        <v>3733.5103732500202</v>
      </c>
      <c r="E63" s="154" t="s">
        <v>280</v>
      </c>
      <c r="F63" s="153">
        <v>1064.1100930607499</v>
      </c>
      <c r="G63" s="154" t="s">
        <v>280</v>
      </c>
      <c r="H63" s="153">
        <v>2624.59414224894</v>
      </c>
      <c r="I63" s="154" t="s">
        <v>280</v>
      </c>
    </row>
    <row r="64" spans="1:9" s="142" customFormat="1" ht="12.75" customHeight="1" x14ac:dyDescent="0.25">
      <c r="A64" s="151"/>
      <c r="B64" s="152" t="s">
        <v>2</v>
      </c>
      <c r="C64" s="219" t="s">
        <v>197</v>
      </c>
      <c r="D64" s="153">
        <v>3576.71635881675</v>
      </c>
      <c r="E64" s="154" t="s">
        <v>280</v>
      </c>
      <c r="F64" s="153">
        <v>940.87920712033304</v>
      </c>
      <c r="G64" s="154" t="s">
        <v>280</v>
      </c>
      <c r="H64" s="153">
        <v>2575.1353271907601</v>
      </c>
      <c r="I64" s="154" t="s">
        <v>280</v>
      </c>
    </row>
    <row r="65" spans="1:27" s="142" customFormat="1" ht="12.75" customHeight="1" x14ac:dyDescent="0.25">
      <c r="A65" s="151"/>
      <c r="B65" s="152" t="s">
        <v>3</v>
      </c>
      <c r="C65" s="219" t="s">
        <v>197</v>
      </c>
      <c r="D65" s="153">
        <v>3872.7151887776899</v>
      </c>
      <c r="E65" s="154" t="s">
        <v>280</v>
      </c>
      <c r="F65" s="153">
        <v>901.06588468398604</v>
      </c>
      <c r="G65" s="154" t="s">
        <v>280</v>
      </c>
      <c r="H65" s="153">
        <v>3030.6910881201202</v>
      </c>
      <c r="I65" s="154" t="s">
        <v>280</v>
      </c>
    </row>
    <row r="66" spans="1:27" s="142" customFormat="1" ht="12.75" customHeight="1" x14ac:dyDescent="0.25">
      <c r="A66" s="152"/>
      <c r="B66" s="152" t="s">
        <v>4</v>
      </c>
      <c r="C66" s="219" t="s">
        <v>197</v>
      </c>
      <c r="D66" s="153">
        <v>3823.0580791555499</v>
      </c>
      <c r="E66" s="154" t="s">
        <v>280</v>
      </c>
      <c r="F66" s="153">
        <v>957.94481513492894</v>
      </c>
      <c r="G66" s="154" t="s">
        <v>280</v>
      </c>
      <c r="H66" s="153">
        <v>2911.5794424401802</v>
      </c>
      <c r="I66" s="154" t="s">
        <v>280</v>
      </c>
    </row>
    <row r="67" spans="1:27" s="142" customFormat="1" ht="12.75" customHeight="1" x14ac:dyDescent="0.25">
      <c r="A67" s="151"/>
      <c r="B67" s="152"/>
      <c r="C67" s="219"/>
      <c r="D67" s="153"/>
      <c r="E67" s="154"/>
      <c r="F67" s="153"/>
      <c r="G67" s="154"/>
      <c r="H67" s="153"/>
      <c r="I67" s="154"/>
    </row>
    <row r="68" spans="1:27" s="142" customFormat="1" ht="12.75" customHeight="1" x14ac:dyDescent="0.25">
      <c r="A68" s="151">
        <v>2017</v>
      </c>
      <c r="B68" s="152" t="s">
        <v>1</v>
      </c>
      <c r="C68" s="219" t="s">
        <v>197</v>
      </c>
      <c r="D68" s="153">
        <v>3872.71540974352</v>
      </c>
      <c r="E68" s="154" t="s">
        <v>508</v>
      </c>
      <c r="F68" s="153">
        <v>851.58259748774003</v>
      </c>
      <c r="G68" s="154" t="s">
        <v>508</v>
      </c>
      <c r="H68" s="153">
        <v>2987.3673316403201</v>
      </c>
      <c r="I68" s="154" t="s">
        <v>508</v>
      </c>
      <c r="AA68" s="142" t="s">
        <v>508</v>
      </c>
    </row>
    <row r="69" spans="1:27" s="142" customFormat="1" ht="12.75" customHeight="1" thickBot="1" x14ac:dyDescent="0.3">
      <c r="A69" s="152"/>
      <c r="B69" s="156"/>
      <c r="C69" s="220"/>
      <c r="D69" s="153"/>
      <c r="E69" s="154"/>
      <c r="F69" s="153"/>
      <c r="G69" s="154"/>
      <c r="H69" s="153"/>
      <c r="I69" s="154"/>
    </row>
    <row r="70" spans="1:27" s="142" customFormat="1" ht="12.75" customHeight="1" x14ac:dyDescent="0.2">
      <c r="A70" s="159" t="s">
        <v>509</v>
      </c>
      <c r="B70" s="159"/>
      <c r="C70" s="221"/>
      <c r="D70" s="159"/>
      <c r="E70" s="221"/>
      <c r="F70" s="159"/>
      <c r="G70" s="221"/>
      <c r="H70" s="159"/>
      <c r="I70" s="221"/>
    </row>
    <row r="71" spans="1:27" s="142" customFormat="1" ht="12.75" customHeight="1" x14ac:dyDescent="0.2">
      <c r="A71" s="160"/>
      <c r="B71" s="160"/>
      <c r="C71" s="161"/>
      <c r="D71" s="160"/>
      <c r="E71" s="161"/>
      <c r="F71" s="160"/>
      <c r="G71" s="161"/>
      <c r="H71" s="160"/>
      <c r="I71" s="161"/>
    </row>
    <row r="72" spans="1:27" s="142" customFormat="1" ht="12.75" customHeight="1" x14ac:dyDescent="0.2">
      <c r="A72" s="162">
        <v>2016</v>
      </c>
      <c r="B72" s="163" t="s">
        <v>4</v>
      </c>
      <c r="C72" s="222"/>
      <c r="D72" s="164">
        <v>1.2988903009011787</v>
      </c>
      <c r="E72" s="161"/>
      <c r="F72" s="164">
        <v>-11.103167527683478</v>
      </c>
      <c r="G72" s="161"/>
      <c r="H72" s="164">
        <v>2.6029820136600046</v>
      </c>
      <c r="I72" s="161"/>
    </row>
    <row r="73" spans="1:27" s="142" customFormat="1" ht="12.75" customHeight="1" x14ac:dyDescent="0.2">
      <c r="A73" s="165"/>
      <c r="B73" s="166"/>
      <c r="C73" s="223"/>
      <c r="D73" s="167"/>
      <c r="E73" s="281"/>
      <c r="F73" s="167"/>
      <c r="G73" s="281"/>
      <c r="H73" s="167"/>
      <c r="I73" s="281"/>
    </row>
    <row r="74" spans="1:27" s="142" customFormat="1" ht="12.75" customHeight="1" thickBot="1" x14ac:dyDescent="0.25">
      <c r="A74" s="157">
        <v>2016</v>
      </c>
      <c r="B74" s="158" t="s">
        <v>1</v>
      </c>
      <c r="C74" s="224"/>
      <c r="D74" s="168">
        <v>3.7285295225340853</v>
      </c>
      <c r="E74" s="282"/>
      <c r="F74" s="168">
        <v>-19.972322127093733</v>
      </c>
      <c r="G74" s="282"/>
      <c r="H74" s="168">
        <v>13.822068088612372</v>
      </c>
      <c r="I74" s="282"/>
    </row>
    <row r="75" spans="1:27" s="169" customFormat="1" ht="12.75" customHeight="1" x14ac:dyDescent="0.2">
      <c r="A75" s="342"/>
      <c r="B75" s="342"/>
      <c r="C75" s="342"/>
      <c r="D75" s="342"/>
      <c r="E75" s="342"/>
      <c r="F75" s="342"/>
      <c r="G75" s="342"/>
      <c r="H75" s="342"/>
      <c r="I75" s="342"/>
    </row>
    <row r="76" spans="1:27" s="169" customFormat="1" ht="29.25" customHeight="1" x14ac:dyDescent="0.2">
      <c r="A76" s="340" t="s">
        <v>491</v>
      </c>
      <c r="B76" s="340"/>
      <c r="C76" s="340"/>
      <c r="D76" s="340"/>
      <c r="E76" s="340"/>
      <c r="F76" s="340"/>
      <c r="G76" s="340"/>
      <c r="H76" s="340"/>
      <c r="I76" s="340"/>
      <c r="J76" s="340"/>
      <c r="K76" s="340"/>
    </row>
    <row r="77" spans="1:27" s="169" customFormat="1" ht="64.5" customHeight="1" x14ac:dyDescent="0.2">
      <c r="A77" s="340" t="s">
        <v>255</v>
      </c>
      <c r="B77" s="340"/>
      <c r="C77" s="340"/>
      <c r="D77" s="340"/>
      <c r="E77" s="340"/>
      <c r="F77" s="340"/>
      <c r="G77" s="340"/>
      <c r="H77" s="340"/>
      <c r="I77" s="340"/>
    </row>
    <row r="78" spans="1:27" s="169" customFormat="1" ht="33.75" customHeight="1" x14ac:dyDescent="0.2">
      <c r="A78" s="340" t="s">
        <v>499</v>
      </c>
      <c r="B78" s="340"/>
      <c r="C78" s="340"/>
      <c r="D78" s="340"/>
      <c r="E78" s="340"/>
      <c r="F78" s="340"/>
      <c r="G78" s="340"/>
      <c r="H78" s="340"/>
      <c r="I78" s="340"/>
    </row>
    <row r="79" spans="1:27" s="170" customFormat="1" ht="37.5" customHeight="1" x14ac:dyDescent="0.3">
      <c r="A79" s="340" t="s">
        <v>494</v>
      </c>
      <c r="B79" s="340"/>
      <c r="C79" s="340"/>
      <c r="D79" s="340"/>
      <c r="E79" s="340"/>
      <c r="F79" s="340"/>
      <c r="G79" s="340"/>
      <c r="H79" s="340"/>
      <c r="I79" s="340"/>
    </row>
    <row r="80" spans="1:27" s="171" customFormat="1" ht="15" x14ac:dyDescent="0.3">
      <c r="A80" s="345"/>
      <c r="B80" s="345"/>
      <c r="C80" s="345"/>
      <c r="D80" s="345"/>
      <c r="E80" s="345"/>
      <c r="F80" s="345"/>
      <c r="G80" s="345"/>
      <c r="H80" s="345"/>
      <c r="I80" s="345"/>
    </row>
    <row r="81" spans="1:9" s="171" customFormat="1" ht="27.75" customHeight="1" x14ac:dyDescent="0.3">
      <c r="A81" s="345"/>
      <c r="B81" s="345"/>
      <c r="C81" s="345"/>
      <c r="D81" s="345"/>
      <c r="E81" s="345"/>
      <c r="F81" s="345"/>
      <c r="G81" s="345"/>
      <c r="H81" s="345"/>
      <c r="I81" s="345"/>
    </row>
    <row r="82" spans="1:9" ht="12.75" customHeight="1" x14ac:dyDescent="0.3">
      <c r="A82" s="345"/>
      <c r="B82" s="345"/>
      <c r="C82" s="345"/>
      <c r="D82" s="345"/>
      <c r="E82" s="345"/>
      <c r="F82" s="345"/>
      <c r="G82" s="345"/>
      <c r="H82" s="345"/>
      <c r="I82" s="345"/>
    </row>
    <row r="83" spans="1:9" ht="12.75" customHeight="1" x14ac:dyDescent="0.3">
      <c r="A83" s="345"/>
      <c r="B83" s="345"/>
      <c r="C83" s="345"/>
      <c r="D83" s="345"/>
      <c r="E83" s="345"/>
      <c r="F83" s="345"/>
      <c r="G83" s="345"/>
      <c r="H83" s="345"/>
      <c r="I83" s="345"/>
    </row>
    <row r="84" spans="1:9" ht="12.75" customHeight="1" x14ac:dyDescent="0.3">
      <c r="A84" s="345"/>
      <c r="B84" s="345"/>
      <c r="C84" s="345"/>
      <c r="D84" s="345"/>
      <c r="E84" s="345"/>
      <c r="F84" s="345"/>
      <c r="G84" s="345"/>
      <c r="H84" s="345"/>
      <c r="I84" s="345"/>
    </row>
    <row r="85" spans="1:9" ht="12.75" customHeight="1" x14ac:dyDescent="0.3">
      <c r="A85" s="345"/>
      <c r="B85" s="345"/>
      <c r="C85" s="345"/>
      <c r="D85" s="345"/>
      <c r="E85" s="345"/>
      <c r="F85" s="345"/>
      <c r="G85" s="345"/>
      <c r="H85" s="345"/>
      <c r="I85" s="345"/>
    </row>
    <row r="86" spans="1:9" ht="12.75" customHeight="1" x14ac:dyDescent="0.3">
      <c r="A86" s="345"/>
      <c r="B86" s="345"/>
      <c r="C86" s="345"/>
      <c r="D86" s="345"/>
      <c r="E86" s="345"/>
      <c r="F86" s="345"/>
      <c r="G86" s="345"/>
      <c r="H86" s="345"/>
      <c r="I86" s="345"/>
    </row>
    <row r="87" spans="1:9" ht="12.75" customHeight="1" x14ac:dyDescent="0.3">
      <c r="A87" s="345"/>
      <c r="B87" s="345"/>
      <c r="C87" s="345"/>
      <c r="D87" s="345"/>
      <c r="E87" s="345"/>
      <c r="F87" s="345"/>
      <c r="G87" s="345"/>
      <c r="H87" s="345"/>
      <c r="I87" s="345"/>
    </row>
  </sheetData>
  <dataConsolidate/>
  <mergeCells count="19">
    <mergeCell ref="A75:I75"/>
    <mergeCell ref="A77:I77"/>
    <mergeCell ref="A79:I79"/>
    <mergeCell ref="A80:I80"/>
    <mergeCell ref="A76:I76"/>
    <mergeCell ref="A78:I78"/>
    <mergeCell ref="H4:I4"/>
    <mergeCell ref="F5:I5"/>
    <mergeCell ref="F6:G6"/>
    <mergeCell ref="H6:I6"/>
    <mergeCell ref="D5:E6"/>
    <mergeCell ref="A87:I87"/>
    <mergeCell ref="J76:K76"/>
    <mergeCell ref="A83:I83"/>
    <mergeCell ref="A84:I84"/>
    <mergeCell ref="A85:I85"/>
    <mergeCell ref="A86:I86"/>
    <mergeCell ref="A81:I81"/>
    <mergeCell ref="A82:I82"/>
  </mergeCells>
  <hyperlinks>
    <hyperlink ref="A3" location="'Table Contents'!A1" display="Back to contents"/>
  </hyperlinks>
  <printOptions horizontalCentered="1" verticalCentered="1" gridLinesSet="0"/>
  <pageMargins left="0.19685039370078741" right="0.19685039370078741" top="0.19685039370078741" bottom="0.19685039370078741" header="0.39370078740157483" footer="0.39370078740157483"/>
  <pageSetup paperSize="9" scale="44" orientation="portrait" horizontalDpi="300" verticalDpi="4294967292"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AA87"/>
  <sheetViews>
    <sheetView showGridLines="0" zoomScaleNormal="100" workbookViewId="0">
      <pane xSplit="3" ySplit="7" topLeftCell="D8" activePane="bottomRight" state="frozen"/>
      <selection activeCell="D75" sqref="D75"/>
      <selection pane="topRight" activeCell="D75" sqref="D75"/>
      <selection pane="bottomLeft" activeCell="D75" sqref="D75"/>
      <selection pane="bottomRight" activeCell="D8" sqref="D8"/>
    </sheetView>
  </sheetViews>
  <sheetFormatPr defaultColWidth="8.85546875" defaultRowHeight="12.75" customHeight="1" x14ac:dyDescent="0.3"/>
  <cols>
    <col min="1" max="1" width="7.42578125" style="131" customWidth="1"/>
    <col min="2" max="2" width="4.85546875" style="131" customWidth="1"/>
    <col min="3" max="3" width="4.85546875" style="174" customWidth="1"/>
    <col min="4" max="4" width="11.85546875" style="172" customWidth="1"/>
    <col min="5" max="5" width="3.85546875" style="172" customWidth="1"/>
    <col min="6" max="6" width="10" style="172" customWidth="1"/>
    <col min="7" max="7" width="3.85546875" style="172" customWidth="1"/>
    <col min="8" max="8" width="5.42578125" style="172" customWidth="1"/>
    <col min="9" max="9" width="3.85546875" style="172" customWidth="1"/>
    <col min="10" max="10" width="10" style="173" customWidth="1"/>
    <col min="11" max="11" width="3.85546875" style="172" customWidth="1"/>
    <col min="12" max="12" width="5.42578125" style="173" customWidth="1"/>
    <col min="13" max="13" width="3.85546875" style="172" customWidth="1"/>
    <col min="14" max="14" width="3.5703125" style="134" customWidth="1"/>
    <col min="15" max="16384" width="8.85546875" style="134"/>
  </cols>
  <sheetData>
    <row r="1" spans="1:18" ht="12.75" customHeight="1" x14ac:dyDescent="0.3">
      <c r="B1" s="132"/>
      <c r="C1" s="133"/>
      <c r="D1" s="132"/>
      <c r="E1" s="132"/>
      <c r="F1" s="132"/>
      <c r="G1" s="132"/>
      <c r="H1" s="132"/>
      <c r="I1" s="132"/>
      <c r="J1" s="132"/>
      <c r="K1" s="132"/>
      <c r="L1" s="132"/>
      <c r="M1" s="132"/>
    </row>
    <row r="2" spans="1:18" s="136" customFormat="1" ht="31.5" customHeight="1" x14ac:dyDescent="0.3">
      <c r="A2" s="193" t="s">
        <v>179</v>
      </c>
      <c r="B2" s="194"/>
      <c r="C2" s="194"/>
      <c r="D2" s="195" t="s">
        <v>245</v>
      </c>
      <c r="E2" s="132"/>
      <c r="F2" s="132"/>
      <c r="G2" s="132"/>
      <c r="H2" s="132"/>
      <c r="I2" s="132"/>
      <c r="J2" s="132"/>
      <c r="K2" s="132"/>
      <c r="L2" s="132"/>
      <c r="M2" s="132"/>
      <c r="N2" s="132"/>
      <c r="O2" s="132"/>
      <c r="P2" s="132"/>
    </row>
    <row r="3" spans="1:18" s="136" customFormat="1" ht="17.25" x14ac:dyDescent="0.3">
      <c r="A3" s="196" t="s">
        <v>154</v>
      </c>
      <c r="B3" s="197"/>
      <c r="C3" s="214"/>
      <c r="D3" s="198" t="s">
        <v>161</v>
      </c>
      <c r="E3" s="188"/>
      <c r="F3" s="188"/>
      <c r="G3" s="188"/>
      <c r="H3" s="188"/>
      <c r="I3" s="188"/>
      <c r="J3" s="188"/>
      <c r="K3" s="188"/>
      <c r="L3" s="188"/>
      <c r="M3" s="188"/>
      <c r="N3" s="132"/>
      <c r="O3" s="132"/>
      <c r="P3" s="132"/>
    </row>
    <row r="4" spans="1:18" ht="10.5" customHeight="1" thickBot="1" x14ac:dyDescent="0.35">
      <c r="A4" s="137"/>
      <c r="B4" s="137"/>
      <c r="C4" s="215"/>
      <c r="D4" s="137"/>
      <c r="E4" s="137"/>
      <c r="F4" s="137"/>
      <c r="G4" s="137"/>
      <c r="H4" s="137"/>
      <c r="I4" s="137"/>
      <c r="J4" s="337"/>
      <c r="K4" s="337"/>
      <c r="L4" s="337"/>
      <c r="M4" s="337"/>
    </row>
    <row r="5" spans="1:18" ht="30.75" customHeight="1" thickBot="1" x14ac:dyDescent="0.35">
      <c r="A5" s="233"/>
      <c r="B5" s="233"/>
      <c r="C5" s="234"/>
      <c r="D5" s="349" t="s">
        <v>176</v>
      </c>
      <c r="E5" s="349"/>
      <c r="F5" s="348" t="s">
        <v>174</v>
      </c>
      <c r="G5" s="348"/>
      <c r="H5" s="348"/>
      <c r="I5" s="348"/>
      <c r="J5" s="348"/>
      <c r="K5" s="348"/>
      <c r="L5" s="348"/>
      <c r="M5" s="348"/>
    </row>
    <row r="6" spans="1:18" s="141" customFormat="1" ht="19.5" customHeight="1" x14ac:dyDescent="0.3">
      <c r="A6" s="139"/>
      <c r="B6" s="140" t="s">
        <v>140</v>
      </c>
      <c r="C6" s="226"/>
      <c r="D6" s="354"/>
      <c r="E6" s="354"/>
      <c r="F6" s="351" t="s">
        <v>498</v>
      </c>
      <c r="G6" s="351"/>
      <c r="H6" s="351"/>
      <c r="I6" s="351"/>
      <c r="J6" s="352" t="s">
        <v>489</v>
      </c>
      <c r="K6" s="352"/>
      <c r="L6" s="352"/>
      <c r="M6" s="352"/>
    </row>
    <row r="7" spans="1:18" s="142" customFormat="1" ht="16.5" customHeight="1" thickBot="1" x14ac:dyDescent="0.35">
      <c r="A7" s="229" t="s">
        <v>141</v>
      </c>
      <c r="B7" s="230" t="s">
        <v>140</v>
      </c>
      <c r="C7" s="230"/>
      <c r="D7" s="350"/>
      <c r="E7" s="350"/>
      <c r="F7" s="353" t="s">
        <v>177</v>
      </c>
      <c r="G7" s="353"/>
      <c r="H7" s="353" t="s">
        <v>178</v>
      </c>
      <c r="I7" s="353"/>
      <c r="J7" s="353" t="s">
        <v>177</v>
      </c>
      <c r="K7" s="353"/>
      <c r="L7" s="353" t="s">
        <v>178</v>
      </c>
      <c r="M7" s="353"/>
    </row>
    <row r="8" spans="1:18" s="146" customFormat="1" ht="12.75" customHeight="1" x14ac:dyDescent="0.25">
      <c r="A8" s="143">
        <v>2007</v>
      </c>
      <c r="B8" s="143"/>
      <c r="C8" s="213"/>
      <c r="D8" s="144">
        <v>64480</v>
      </c>
      <c r="E8" s="285" t="s">
        <v>508</v>
      </c>
      <c r="F8" s="144">
        <v>10047</v>
      </c>
      <c r="G8" s="285" t="s">
        <v>508</v>
      </c>
      <c r="H8" s="199">
        <v>15.581575682382134</v>
      </c>
      <c r="I8" s="285" t="s">
        <v>508</v>
      </c>
      <c r="J8" s="144">
        <v>54433</v>
      </c>
      <c r="K8" s="285" t="s">
        <v>508</v>
      </c>
      <c r="L8" s="199">
        <v>84.418424317617863</v>
      </c>
      <c r="M8" s="285" t="s">
        <v>508</v>
      </c>
    </row>
    <row r="9" spans="1:18" s="146" customFormat="1" ht="12.75" customHeight="1" x14ac:dyDescent="0.25">
      <c r="A9" s="143">
        <v>2008</v>
      </c>
      <c r="B9" s="143"/>
      <c r="C9" s="213"/>
      <c r="D9" s="144">
        <v>67428</v>
      </c>
      <c r="E9" s="285" t="s">
        <v>508</v>
      </c>
      <c r="F9" s="144">
        <v>10828</v>
      </c>
      <c r="G9" s="285" t="s">
        <v>508</v>
      </c>
      <c r="H9" s="199">
        <v>16.058610666192084</v>
      </c>
      <c r="I9" s="285" t="s">
        <v>508</v>
      </c>
      <c r="J9" s="144">
        <v>56600</v>
      </c>
      <c r="K9" s="285" t="s">
        <v>508</v>
      </c>
      <c r="L9" s="199">
        <v>83.941389333807919</v>
      </c>
      <c r="M9" s="285" t="s">
        <v>508</v>
      </c>
    </row>
    <row r="10" spans="1:18" s="146" customFormat="1" ht="12.75" customHeight="1" x14ac:dyDescent="0.25">
      <c r="A10" s="143">
        <v>2009</v>
      </c>
      <c r="B10" s="143"/>
      <c r="C10" s="213"/>
      <c r="D10" s="144">
        <v>74670</v>
      </c>
      <c r="E10" s="285" t="s">
        <v>508</v>
      </c>
      <c r="F10" s="144">
        <v>10866</v>
      </c>
      <c r="G10" s="285" t="s">
        <v>508</v>
      </c>
      <c r="H10" s="199">
        <v>14.552028927280034</v>
      </c>
      <c r="I10" s="285" t="s">
        <v>508</v>
      </c>
      <c r="J10" s="144">
        <v>63804</v>
      </c>
      <c r="K10" s="285" t="s">
        <v>508</v>
      </c>
      <c r="L10" s="199">
        <v>85.447971072719966</v>
      </c>
      <c r="M10" s="285" t="s">
        <v>508</v>
      </c>
    </row>
    <row r="11" spans="1:18" s="146" customFormat="1" ht="12.75" customHeight="1" x14ac:dyDescent="0.25">
      <c r="A11" s="143">
        <v>2010</v>
      </c>
      <c r="B11" s="143"/>
      <c r="C11" s="213"/>
      <c r="D11" s="144">
        <v>59173</v>
      </c>
      <c r="E11" s="285" t="s">
        <v>508</v>
      </c>
      <c r="F11" s="144">
        <v>8542</v>
      </c>
      <c r="G11" s="285" t="s">
        <v>508</v>
      </c>
      <c r="H11" s="199">
        <v>14.435637875382353</v>
      </c>
      <c r="I11" s="285" t="s">
        <v>508</v>
      </c>
      <c r="J11" s="144">
        <v>50631</v>
      </c>
      <c r="K11" s="285" t="s">
        <v>508</v>
      </c>
      <c r="L11" s="199">
        <v>85.564362124617645</v>
      </c>
      <c r="M11" s="285" t="s">
        <v>508</v>
      </c>
    </row>
    <row r="12" spans="1:18" s="146" customFormat="1" ht="12.75" customHeight="1" x14ac:dyDescent="0.25">
      <c r="A12" s="143">
        <v>2011</v>
      </c>
      <c r="B12" s="143"/>
      <c r="C12" s="213"/>
      <c r="D12" s="144">
        <v>41876</v>
      </c>
      <c r="E12" s="285" t="s">
        <v>508</v>
      </c>
      <c r="F12" s="144">
        <v>7803</v>
      </c>
      <c r="G12" s="285" t="s">
        <v>508</v>
      </c>
      <c r="H12" s="199">
        <v>18.633584869615056</v>
      </c>
      <c r="I12" s="285" t="s">
        <v>508</v>
      </c>
      <c r="J12" s="144">
        <v>34073</v>
      </c>
      <c r="K12" s="285" t="s">
        <v>508</v>
      </c>
      <c r="L12" s="199">
        <v>81.366415130384951</v>
      </c>
      <c r="M12" s="285" t="s">
        <v>508</v>
      </c>
    </row>
    <row r="13" spans="1:18" s="146" customFormat="1" ht="12.75" customHeight="1" x14ac:dyDescent="0.25">
      <c r="A13" s="143">
        <v>2012</v>
      </c>
      <c r="B13" s="143"/>
      <c r="C13" s="213"/>
      <c r="D13" s="144">
        <v>31787</v>
      </c>
      <c r="E13" s="285" t="s">
        <v>508</v>
      </c>
      <c r="F13" s="144">
        <v>6595</v>
      </c>
      <c r="G13" s="285" t="s">
        <v>508</v>
      </c>
      <c r="H13" s="199">
        <v>20.747475383018216</v>
      </c>
      <c r="I13" s="285" t="s">
        <v>508</v>
      </c>
      <c r="J13" s="144">
        <v>25192</v>
      </c>
      <c r="K13" s="285" t="s">
        <v>508</v>
      </c>
      <c r="L13" s="199">
        <v>79.252524616981788</v>
      </c>
      <c r="M13" s="285" t="s">
        <v>508</v>
      </c>
    </row>
    <row r="14" spans="1:18" s="146" customFormat="1" ht="12.75" customHeight="1" x14ac:dyDescent="0.25">
      <c r="A14" s="143">
        <v>2013</v>
      </c>
      <c r="B14" s="143"/>
      <c r="C14" s="213"/>
      <c r="D14" s="144">
        <v>24571</v>
      </c>
      <c r="E14" s="285" t="s">
        <v>508</v>
      </c>
      <c r="F14" s="144">
        <v>5377</v>
      </c>
      <c r="G14" s="285" t="s">
        <v>508</v>
      </c>
      <c r="H14" s="199">
        <v>21.883521224207399</v>
      </c>
      <c r="I14" s="285" t="s">
        <v>508</v>
      </c>
      <c r="J14" s="144">
        <v>19194</v>
      </c>
      <c r="K14" s="285" t="s">
        <v>508</v>
      </c>
      <c r="L14" s="199">
        <v>78.116478775792601</v>
      </c>
      <c r="M14" s="285" t="s">
        <v>508</v>
      </c>
    </row>
    <row r="15" spans="1:18" s="146" customFormat="1" ht="12.75" customHeight="1" x14ac:dyDescent="0.25">
      <c r="A15" s="143">
        <v>2014</v>
      </c>
      <c r="B15" s="143"/>
      <c r="C15" s="213"/>
      <c r="D15" s="144">
        <v>20345</v>
      </c>
      <c r="E15" s="285" t="s">
        <v>508</v>
      </c>
      <c r="F15" s="144">
        <v>4782</v>
      </c>
      <c r="G15" s="285" t="s">
        <v>508</v>
      </c>
      <c r="H15" s="199">
        <v>23.504546571639224</v>
      </c>
      <c r="I15" s="285" t="s">
        <v>508</v>
      </c>
      <c r="J15" s="144">
        <v>15563</v>
      </c>
      <c r="K15" s="285" t="s">
        <v>508</v>
      </c>
      <c r="L15" s="199">
        <v>76.495453428360776</v>
      </c>
      <c r="M15" s="285" t="s">
        <v>508</v>
      </c>
    </row>
    <row r="16" spans="1:18" s="146" customFormat="1" ht="12.75" customHeight="1" x14ac:dyDescent="0.25">
      <c r="A16" s="143">
        <v>2015</v>
      </c>
      <c r="B16" s="143"/>
      <c r="C16" s="213"/>
      <c r="D16" s="144">
        <v>15845</v>
      </c>
      <c r="E16" s="285" t="s">
        <v>508</v>
      </c>
      <c r="F16" s="144">
        <v>4405</v>
      </c>
      <c r="G16" s="285" t="s">
        <v>508</v>
      </c>
      <c r="H16" s="199">
        <v>27.800568002524457</v>
      </c>
      <c r="I16" s="285" t="s">
        <v>508</v>
      </c>
      <c r="J16" s="144">
        <v>11440</v>
      </c>
      <c r="K16" s="285" t="s">
        <v>508</v>
      </c>
      <c r="L16" s="199">
        <v>72.199431997475543</v>
      </c>
      <c r="M16" s="285" t="s">
        <v>508</v>
      </c>
      <c r="R16" s="147"/>
    </row>
    <row r="17" spans="1:13" s="146" customFormat="1" ht="12.75" customHeight="1" x14ac:dyDescent="0.25">
      <c r="A17" s="143">
        <v>2016</v>
      </c>
      <c r="B17" s="213" t="s">
        <v>508</v>
      </c>
      <c r="D17" s="144">
        <v>15006</v>
      </c>
      <c r="E17" s="285" t="s">
        <v>280</v>
      </c>
      <c r="F17" s="144">
        <v>3864</v>
      </c>
      <c r="G17" s="285" t="s">
        <v>280</v>
      </c>
      <c r="H17" s="199">
        <v>25.749700119952017</v>
      </c>
      <c r="I17" s="285" t="s">
        <v>508</v>
      </c>
      <c r="J17" s="144">
        <v>11142</v>
      </c>
      <c r="K17" s="285" t="s">
        <v>280</v>
      </c>
      <c r="L17" s="199">
        <v>74.250299880047976</v>
      </c>
      <c r="M17" s="285" t="s">
        <v>508</v>
      </c>
    </row>
    <row r="18" spans="1:13" s="142" customFormat="1" ht="12.75" customHeight="1" x14ac:dyDescent="0.25">
      <c r="A18" s="148"/>
      <c r="B18" s="148"/>
      <c r="C18" s="218"/>
      <c r="D18" s="149"/>
      <c r="E18" s="286"/>
      <c r="F18" s="149"/>
      <c r="G18" s="286"/>
      <c r="H18" s="200"/>
      <c r="I18" s="286"/>
      <c r="J18" s="149"/>
      <c r="K18" s="286"/>
      <c r="L18" s="200"/>
      <c r="M18" s="286"/>
    </row>
    <row r="19" spans="1:13" s="142" customFormat="1" ht="12.75" customHeight="1" x14ac:dyDescent="0.25">
      <c r="A19" s="151">
        <v>2007</v>
      </c>
      <c r="B19" s="152" t="s">
        <v>1</v>
      </c>
      <c r="C19" s="219"/>
      <c r="D19" s="153">
        <v>17937</v>
      </c>
      <c r="E19" s="286" t="s">
        <v>508</v>
      </c>
      <c r="F19" s="153">
        <v>2581</v>
      </c>
      <c r="G19" s="286" t="s">
        <v>508</v>
      </c>
      <c r="H19" s="155">
        <v>14.389251268328037</v>
      </c>
      <c r="I19" s="286" t="s">
        <v>508</v>
      </c>
      <c r="J19" s="153">
        <v>15356</v>
      </c>
      <c r="K19" s="286" t="s">
        <v>508</v>
      </c>
      <c r="L19" s="155">
        <v>85.610748731671961</v>
      </c>
      <c r="M19" s="286" t="s">
        <v>508</v>
      </c>
    </row>
    <row r="20" spans="1:13" s="142" customFormat="1" ht="12.75" customHeight="1" x14ac:dyDescent="0.25">
      <c r="A20" s="151"/>
      <c r="B20" s="152" t="s">
        <v>2</v>
      </c>
      <c r="C20" s="219"/>
      <c r="D20" s="153">
        <v>16489</v>
      </c>
      <c r="E20" s="286" t="s">
        <v>508</v>
      </c>
      <c r="F20" s="153">
        <v>2566</v>
      </c>
      <c r="G20" s="286" t="s">
        <v>508</v>
      </c>
      <c r="H20" s="155">
        <v>15.56188974467827</v>
      </c>
      <c r="I20" s="286" t="s">
        <v>508</v>
      </c>
      <c r="J20" s="153">
        <v>13923</v>
      </c>
      <c r="K20" s="286" t="s">
        <v>508</v>
      </c>
      <c r="L20" s="155">
        <v>84.438110255321732</v>
      </c>
      <c r="M20" s="286" t="s">
        <v>508</v>
      </c>
    </row>
    <row r="21" spans="1:13" s="142" customFormat="1" ht="12.75" customHeight="1" x14ac:dyDescent="0.25">
      <c r="A21" s="151"/>
      <c r="B21" s="152" t="s">
        <v>3</v>
      </c>
      <c r="C21" s="219"/>
      <c r="D21" s="153">
        <v>15600</v>
      </c>
      <c r="E21" s="286" t="s">
        <v>508</v>
      </c>
      <c r="F21" s="153">
        <v>2427</v>
      </c>
      <c r="G21" s="286" t="s">
        <v>508</v>
      </c>
      <c r="H21" s="155">
        <v>15.557692307692308</v>
      </c>
      <c r="I21" s="286" t="s">
        <v>508</v>
      </c>
      <c r="J21" s="153">
        <v>13173</v>
      </c>
      <c r="K21" s="286" t="s">
        <v>508</v>
      </c>
      <c r="L21" s="155">
        <v>84.442307692307693</v>
      </c>
      <c r="M21" s="286" t="s">
        <v>508</v>
      </c>
    </row>
    <row r="22" spans="1:13" s="142" customFormat="1" ht="12.75" customHeight="1" x14ac:dyDescent="0.25">
      <c r="A22" s="151"/>
      <c r="B22" s="152" t="s">
        <v>4</v>
      </c>
      <c r="C22" s="219"/>
      <c r="D22" s="153">
        <v>14454</v>
      </c>
      <c r="E22" s="286" t="s">
        <v>508</v>
      </c>
      <c r="F22" s="153">
        <v>2473</v>
      </c>
      <c r="G22" s="286" t="s">
        <v>508</v>
      </c>
      <c r="H22" s="155">
        <v>17.109450671094507</v>
      </c>
      <c r="I22" s="286" t="s">
        <v>508</v>
      </c>
      <c r="J22" s="153">
        <v>11981</v>
      </c>
      <c r="K22" s="286" t="s">
        <v>508</v>
      </c>
      <c r="L22" s="155">
        <v>82.890549328905493</v>
      </c>
      <c r="M22" s="286" t="s">
        <v>508</v>
      </c>
    </row>
    <row r="23" spans="1:13" s="142" customFormat="1" ht="12.75" customHeight="1" x14ac:dyDescent="0.25">
      <c r="A23" s="151"/>
      <c r="B23" s="152"/>
      <c r="C23" s="219"/>
      <c r="D23" s="153"/>
      <c r="E23" s="286"/>
      <c r="F23" s="153"/>
      <c r="G23" s="286"/>
      <c r="H23" s="155"/>
      <c r="I23" s="286"/>
      <c r="J23" s="153"/>
      <c r="K23" s="286"/>
      <c r="L23" s="155"/>
      <c r="M23" s="286"/>
    </row>
    <row r="24" spans="1:13" s="142" customFormat="1" ht="12.75" customHeight="1" x14ac:dyDescent="0.25">
      <c r="A24" s="151">
        <v>2008</v>
      </c>
      <c r="B24" s="152" t="s">
        <v>1</v>
      </c>
      <c r="C24" s="219"/>
      <c r="D24" s="153">
        <v>15814</v>
      </c>
      <c r="E24" s="286" t="s">
        <v>508</v>
      </c>
      <c r="F24" s="153">
        <v>2539</v>
      </c>
      <c r="G24" s="286" t="s">
        <v>508</v>
      </c>
      <c r="H24" s="155">
        <v>16.055393954723662</v>
      </c>
      <c r="I24" s="286" t="s">
        <v>508</v>
      </c>
      <c r="J24" s="153">
        <v>13275</v>
      </c>
      <c r="K24" s="286" t="s">
        <v>508</v>
      </c>
      <c r="L24" s="155">
        <v>83.944606045276345</v>
      </c>
      <c r="M24" s="286" t="s">
        <v>508</v>
      </c>
    </row>
    <row r="25" spans="1:13" s="142" customFormat="1" ht="12.75" customHeight="1" x14ac:dyDescent="0.25">
      <c r="A25" s="151"/>
      <c r="B25" s="152" t="s">
        <v>2</v>
      </c>
      <c r="C25" s="219"/>
      <c r="D25" s="153">
        <v>16373</v>
      </c>
      <c r="E25" s="286" t="s">
        <v>508</v>
      </c>
      <c r="F25" s="153">
        <v>2619</v>
      </c>
      <c r="G25" s="286" t="s">
        <v>508</v>
      </c>
      <c r="H25" s="155">
        <v>15.995846820985768</v>
      </c>
      <c r="I25" s="286" t="s">
        <v>508</v>
      </c>
      <c r="J25" s="153">
        <v>13754</v>
      </c>
      <c r="K25" s="286" t="s">
        <v>508</v>
      </c>
      <c r="L25" s="155">
        <v>84.004153179014224</v>
      </c>
      <c r="M25" s="286" t="s">
        <v>508</v>
      </c>
    </row>
    <row r="26" spans="1:13" s="142" customFormat="1" ht="12.75" customHeight="1" x14ac:dyDescent="0.25">
      <c r="A26" s="151"/>
      <c r="B26" s="152" t="s">
        <v>3</v>
      </c>
      <c r="C26" s="219"/>
      <c r="D26" s="153">
        <v>17237</v>
      </c>
      <c r="E26" s="286" t="s">
        <v>508</v>
      </c>
      <c r="F26" s="153">
        <v>2868</v>
      </c>
      <c r="G26" s="286" t="s">
        <v>508</v>
      </c>
      <c r="H26" s="155">
        <v>16.638626211057609</v>
      </c>
      <c r="I26" s="286" t="s">
        <v>508</v>
      </c>
      <c r="J26" s="153">
        <v>14369</v>
      </c>
      <c r="K26" s="286" t="s">
        <v>508</v>
      </c>
      <c r="L26" s="155">
        <v>83.361373788942387</v>
      </c>
      <c r="M26" s="286" t="s">
        <v>508</v>
      </c>
    </row>
    <row r="27" spans="1:13" s="142" customFormat="1" ht="12.75" customHeight="1" x14ac:dyDescent="0.25">
      <c r="A27" s="151"/>
      <c r="B27" s="152" t="s">
        <v>4</v>
      </c>
      <c r="C27" s="219"/>
      <c r="D27" s="153">
        <v>18004</v>
      </c>
      <c r="E27" s="286" t="s">
        <v>508</v>
      </c>
      <c r="F27" s="153">
        <v>2802</v>
      </c>
      <c r="G27" s="286" t="s">
        <v>508</v>
      </c>
      <c r="H27" s="155">
        <v>15.563208175960897</v>
      </c>
      <c r="I27" s="286" t="s">
        <v>508</v>
      </c>
      <c r="J27" s="153">
        <v>15202</v>
      </c>
      <c r="K27" s="286" t="s">
        <v>508</v>
      </c>
      <c r="L27" s="155">
        <v>84.436791824039105</v>
      </c>
      <c r="M27" s="286" t="s">
        <v>508</v>
      </c>
    </row>
    <row r="28" spans="1:13" s="142" customFormat="1" ht="12.75" customHeight="1" x14ac:dyDescent="0.25">
      <c r="A28" s="151"/>
      <c r="B28" s="152"/>
      <c r="C28" s="219"/>
      <c r="D28" s="153"/>
      <c r="E28" s="286"/>
      <c r="F28" s="153"/>
      <c r="G28" s="286"/>
      <c r="H28" s="155"/>
      <c r="I28" s="286"/>
      <c r="J28" s="153"/>
      <c r="K28" s="286"/>
      <c r="L28" s="155"/>
      <c r="M28" s="286"/>
    </row>
    <row r="29" spans="1:13" s="142" customFormat="1" ht="12.75" customHeight="1" x14ac:dyDescent="0.25">
      <c r="A29" s="151">
        <v>2009</v>
      </c>
      <c r="B29" s="152" t="s">
        <v>1</v>
      </c>
      <c r="C29" s="219"/>
      <c r="D29" s="153">
        <v>20446</v>
      </c>
      <c r="E29" s="286" t="s">
        <v>508</v>
      </c>
      <c r="F29" s="153">
        <v>2840</v>
      </c>
      <c r="G29" s="286" t="s">
        <v>508</v>
      </c>
      <c r="H29" s="155">
        <v>13.890247481169911</v>
      </c>
      <c r="I29" s="286" t="s">
        <v>508</v>
      </c>
      <c r="J29" s="153">
        <v>17606</v>
      </c>
      <c r="K29" s="286" t="s">
        <v>508</v>
      </c>
      <c r="L29" s="155">
        <v>86.109752518830078</v>
      </c>
      <c r="M29" s="286" t="s">
        <v>508</v>
      </c>
    </row>
    <row r="30" spans="1:13" s="142" customFormat="1" ht="12.75" customHeight="1" x14ac:dyDescent="0.25">
      <c r="A30" s="151"/>
      <c r="B30" s="152" t="s">
        <v>2</v>
      </c>
      <c r="C30" s="219"/>
      <c r="D30" s="153">
        <v>18870</v>
      </c>
      <c r="E30" s="286" t="s">
        <v>508</v>
      </c>
      <c r="F30" s="153">
        <v>2605</v>
      </c>
      <c r="G30" s="286" t="s">
        <v>508</v>
      </c>
      <c r="H30" s="155">
        <v>13.804981452040277</v>
      </c>
      <c r="I30" s="286" t="s">
        <v>508</v>
      </c>
      <c r="J30" s="153">
        <v>16265</v>
      </c>
      <c r="K30" s="286" t="s">
        <v>508</v>
      </c>
      <c r="L30" s="155">
        <v>86.19501854795972</v>
      </c>
      <c r="M30" s="286" t="s">
        <v>508</v>
      </c>
    </row>
    <row r="31" spans="1:13" s="142" customFormat="1" ht="12.75" customHeight="1" x14ac:dyDescent="0.25">
      <c r="A31" s="151"/>
      <c r="B31" s="152" t="s">
        <v>3</v>
      </c>
      <c r="C31" s="219"/>
      <c r="D31" s="153">
        <v>18347</v>
      </c>
      <c r="E31" s="286" t="s">
        <v>508</v>
      </c>
      <c r="F31" s="153">
        <v>2731</v>
      </c>
      <c r="G31" s="286" t="s">
        <v>508</v>
      </c>
      <c r="H31" s="155">
        <v>14.885267346160136</v>
      </c>
      <c r="I31" s="286" t="s">
        <v>508</v>
      </c>
      <c r="J31" s="153">
        <v>15616</v>
      </c>
      <c r="K31" s="286" t="s">
        <v>508</v>
      </c>
      <c r="L31" s="155">
        <v>85.114732653839866</v>
      </c>
      <c r="M31" s="286" t="s">
        <v>508</v>
      </c>
    </row>
    <row r="32" spans="1:13" s="142" customFormat="1" ht="12.75" customHeight="1" x14ac:dyDescent="0.25">
      <c r="A32" s="151"/>
      <c r="B32" s="152" t="s">
        <v>4</v>
      </c>
      <c r="C32" s="219"/>
      <c r="D32" s="153">
        <v>17007</v>
      </c>
      <c r="E32" s="286" t="s">
        <v>508</v>
      </c>
      <c r="F32" s="153">
        <v>2690</v>
      </c>
      <c r="G32" s="286" t="s">
        <v>508</v>
      </c>
      <c r="H32" s="155">
        <v>15.817016522608338</v>
      </c>
      <c r="I32" s="286" t="s">
        <v>508</v>
      </c>
      <c r="J32" s="153">
        <v>14317</v>
      </c>
      <c r="K32" s="286" t="s">
        <v>508</v>
      </c>
      <c r="L32" s="155">
        <v>84.182983477391659</v>
      </c>
      <c r="M32" s="286" t="s">
        <v>508</v>
      </c>
    </row>
    <row r="33" spans="1:13" s="142" customFormat="1" ht="12.75" customHeight="1" x14ac:dyDescent="0.25">
      <c r="A33" s="151"/>
      <c r="B33" s="152"/>
      <c r="C33" s="219"/>
      <c r="D33" s="153"/>
      <c r="E33" s="286"/>
      <c r="F33" s="153"/>
      <c r="G33" s="286"/>
      <c r="H33" s="155"/>
      <c r="I33" s="286"/>
      <c r="J33" s="153"/>
      <c r="K33" s="286"/>
      <c r="L33" s="155"/>
      <c r="M33" s="286"/>
    </row>
    <row r="34" spans="1:13" s="142" customFormat="1" ht="12.75" customHeight="1" x14ac:dyDescent="0.25">
      <c r="A34" s="151">
        <v>2010</v>
      </c>
      <c r="B34" s="152" t="s">
        <v>1</v>
      </c>
      <c r="C34" s="219"/>
      <c r="D34" s="153">
        <v>18256</v>
      </c>
      <c r="E34" s="286" t="s">
        <v>508</v>
      </c>
      <c r="F34" s="153">
        <v>2473</v>
      </c>
      <c r="G34" s="286" t="s">
        <v>508</v>
      </c>
      <c r="H34" s="155">
        <v>13.546231375985975</v>
      </c>
      <c r="I34" s="286" t="s">
        <v>508</v>
      </c>
      <c r="J34" s="153">
        <v>15783</v>
      </c>
      <c r="K34" s="286" t="s">
        <v>508</v>
      </c>
      <c r="L34" s="155">
        <v>86.453768624014032</v>
      </c>
      <c r="M34" s="286" t="s">
        <v>508</v>
      </c>
    </row>
    <row r="35" spans="1:13" s="142" customFormat="1" ht="12.75" customHeight="1" x14ac:dyDescent="0.25">
      <c r="A35" s="151"/>
      <c r="B35" s="152" t="s">
        <v>2</v>
      </c>
      <c r="C35" s="219"/>
      <c r="D35" s="153">
        <v>14982</v>
      </c>
      <c r="E35" s="286" t="s">
        <v>508</v>
      </c>
      <c r="F35" s="153">
        <v>2138</v>
      </c>
      <c r="G35" s="286" t="s">
        <v>508</v>
      </c>
      <c r="H35" s="155">
        <v>14.270457882792684</v>
      </c>
      <c r="I35" s="286" t="s">
        <v>508</v>
      </c>
      <c r="J35" s="153">
        <v>12844</v>
      </c>
      <c r="K35" s="286" t="s">
        <v>508</v>
      </c>
      <c r="L35" s="155">
        <v>85.729542117207316</v>
      </c>
      <c r="M35" s="286" t="s">
        <v>508</v>
      </c>
    </row>
    <row r="36" spans="1:13" s="142" customFormat="1" ht="12.75" customHeight="1" x14ac:dyDescent="0.25">
      <c r="A36" s="151"/>
      <c r="B36" s="152" t="s">
        <v>3</v>
      </c>
      <c r="C36" s="219"/>
      <c r="D36" s="153">
        <v>13907</v>
      </c>
      <c r="E36" s="286" t="s">
        <v>508</v>
      </c>
      <c r="F36" s="153">
        <v>2173</v>
      </c>
      <c r="G36" s="286" t="s">
        <v>508</v>
      </c>
      <c r="H36" s="155">
        <v>15.625224706982097</v>
      </c>
      <c r="I36" s="286" t="s">
        <v>508</v>
      </c>
      <c r="J36" s="153">
        <v>11734</v>
      </c>
      <c r="K36" s="286" t="s">
        <v>508</v>
      </c>
      <c r="L36" s="155">
        <v>84.374775293017905</v>
      </c>
      <c r="M36" s="286" t="s">
        <v>508</v>
      </c>
    </row>
    <row r="37" spans="1:13" s="142" customFormat="1" ht="12.75" customHeight="1" x14ac:dyDescent="0.25">
      <c r="A37" s="151"/>
      <c r="B37" s="152" t="s">
        <v>4</v>
      </c>
      <c r="C37" s="219"/>
      <c r="D37" s="153">
        <v>12028</v>
      </c>
      <c r="E37" s="286" t="s">
        <v>508</v>
      </c>
      <c r="F37" s="153">
        <v>1758</v>
      </c>
      <c r="G37" s="286" t="s">
        <v>508</v>
      </c>
      <c r="H37" s="155">
        <v>14.615896242101762</v>
      </c>
      <c r="I37" s="286" t="s">
        <v>508</v>
      </c>
      <c r="J37" s="153">
        <v>10270</v>
      </c>
      <c r="K37" s="286" t="s">
        <v>508</v>
      </c>
      <c r="L37" s="155">
        <v>85.384103757898231</v>
      </c>
      <c r="M37" s="286" t="s">
        <v>508</v>
      </c>
    </row>
    <row r="38" spans="1:13" s="142" customFormat="1" ht="12.75" customHeight="1" x14ac:dyDescent="0.25">
      <c r="A38" s="151"/>
      <c r="B38" s="152"/>
      <c r="C38" s="219"/>
      <c r="D38" s="153"/>
      <c r="E38" s="286"/>
      <c r="F38" s="153"/>
      <c r="G38" s="286"/>
      <c r="H38" s="155"/>
      <c r="I38" s="286"/>
      <c r="J38" s="153"/>
      <c r="K38" s="286"/>
      <c r="L38" s="155"/>
      <c r="M38" s="286"/>
    </row>
    <row r="39" spans="1:13" s="142" customFormat="1" ht="12.75" customHeight="1" x14ac:dyDescent="0.25">
      <c r="A39" s="151">
        <v>2011</v>
      </c>
      <c r="B39" s="152" t="s">
        <v>1</v>
      </c>
      <c r="C39" s="219"/>
      <c r="D39" s="153">
        <v>12539</v>
      </c>
      <c r="E39" s="286" t="s">
        <v>508</v>
      </c>
      <c r="F39" s="153">
        <v>1982</v>
      </c>
      <c r="G39" s="286" t="s">
        <v>508</v>
      </c>
      <c r="H39" s="155">
        <v>15.806683148576441</v>
      </c>
      <c r="I39" s="286" t="s">
        <v>508</v>
      </c>
      <c r="J39" s="153">
        <v>10557</v>
      </c>
      <c r="K39" s="286" t="s">
        <v>508</v>
      </c>
      <c r="L39" s="155">
        <v>84.19331685142356</v>
      </c>
      <c r="M39" s="286" t="s">
        <v>508</v>
      </c>
    </row>
    <row r="40" spans="1:13" s="142" customFormat="1" ht="12.75" customHeight="1" x14ac:dyDescent="0.25">
      <c r="A40" s="151"/>
      <c r="B40" s="152" t="s">
        <v>2</v>
      </c>
      <c r="C40" s="219"/>
      <c r="D40" s="153">
        <v>11101</v>
      </c>
      <c r="E40" s="286" t="s">
        <v>508</v>
      </c>
      <c r="F40" s="153">
        <v>1888</v>
      </c>
      <c r="G40" s="286" t="s">
        <v>508</v>
      </c>
      <c r="H40" s="155">
        <v>17.007476803891542</v>
      </c>
      <c r="I40" s="286" t="s">
        <v>508</v>
      </c>
      <c r="J40" s="153">
        <v>9213</v>
      </c>
      <c r="K40" s="286" t="s">
        <v>508</v>
      </c>
      <c r="L40" s="155">
        <v>82.992523196108465</v>
      </c>
      <c r="M40" s="286" t="s">
        <v>508</v>
      </c>
    </row>
    <row r="41" spans="1:13" s="142" customFormat="1" ht="12.75" customHeight="1" x14ac:dyDescent="0.25">
      <c r="A41" s="151"/>
      <c r="B41" s="152" t="s">
        <v>3</v>
      </c>
      <c r="C41" s="219"/>
      <c r="D41" s="153">
        <v>9578</v>
      </c>
      <c r="E41" s="286" t="s">
        <v>508</v>
      </c>
      <c r="F41" s="153">
        <v>2024</v>
      </c>
      <c r="G41" s="286" t="s">
        <v>508</v>
      </c>
      <c r="H41" s="155">
        <v>21.131760283984129</v>
      </c>
      <c r="I41" s="286" t="s">
        <v>508</v>
      </c>
      <c r="J41" s="153">
        <v>7554</v>
      </c>
      <c r="K41" s="286" t="s">
        <v>508</v>
      </c>
      <c r="L41" s="155">
        <v>78.868239716015864</v>
      </c>
      <c r="M41" s="286" t="s">
        <v>508</v>
      </c>
    </row>
    <row r="42" spans="1:13" s="142" customFormat="1" ht="12.75" customHeight="1" x14ac:dyDescent="0.25">
      <c r="A42" s="151"/>
      <c r="B42" s="152" t="s">
        <v>4</v>
      </c>
      <c r="C42" s="219"/>
      <c r="D42" s="153">
        <v>8658</v>
      </c>
      <c r="E42" s="286" t="s">
        <v>508</v>
      </c>
      <c r="F42" s="153">
        <v>1909</v>
      </c>
      <c r="G42" s="286" t="s">
        <v>508</v>
      </c>
      <c r="H42" s="155">
        <v>22.048972048972047</v>
      </c>
      <c r="I42" s="286" t="s">
        <v>508</v>
      </c>
      <c r="J42" s="153">
        <v>6749</v>
      </c>
      <c r="K42" s="286" t="s">
        <v>508</v>
      </c>
      <c r="L42" s="155">
        <v>77.951027951027953</v>
      </c>
      <c r="M42" s="286" t="s">
        <v>508</v>
      </c>
    </row>
    <row r="43" spans="1:13" s="142" customFormat="1" ht="12.75" customHeight="1" x14ac:dyDescent="0.25">
      <c r="A43" s="151"/>
      <c r="B43" s="152"/>
      <c r="C43" s="219"/>
      <c r="D43" s="153"/>
      <c r="E43" s="286"/>
      <c r="F43" s="153"/>
      <c r="G43" s="286"/>
      <c r="H43" s="155"/>
      <c r="I43" s="286"/>
      <c r="J43" s="153"/>
      <c r="K43" s="286"/>
      <c r="L43" s="155"/>
      <c r="M43" s="286"/>
    </row>
    <row r="44" spans="1:13" s="142" customFormat="1" ht="12.75" customHeight="1" x14ac:dyDescent="0.25">
      <c r="A44" s="151">
        <v>2012</v>
      </c>
      <c r="B44" s="152" t="s">
        <v>1</v>
      </c>
      <c r="C44" s="219"/>
      <c r="D44" s="153">
        <v>9132</v>
      </c>
      <c r="E44" s="286" t="s">
        <v>508</v>
      </c>
      <c r="F44" s="153">
        <v>1899</v>
      </c>
      <c r="G44" s="286" t="s">
        <v>508</v>
      </c>
      <c r="H44" s="155">
        <v>20.795006570302235</v>
      </c>
      <c r="I44" s="286" t="s">
        <v>508</v>
      </c>
      <c r="J44" s="153">
        <v>7233</v>
      </c>
      <c r="K44" s="286" t="s">
        <v>508</v>
      </c>
      <c r="L44" s="155">
        <v>79.204993429697765</v>
      </c>
      <c r="M44" s="286" t="s">
        <v>508</v>
      </c>
    </row>
    <row r="45" spans="1:13" s="142" customFormat="1" ht="12.75" customHeight="1" x14ac:dyDescent="0.25">
      <c r="A45" s="151"/>
      <c r="B45" s="152" t="s">
        <v>2</v>
      </c>
      <c r="C45" s="219"/>
      <c r="D45" s="153">
        <v>8092</v>
      </c>
      <c r="E45" s="286" t="s">
        <v>508</v>
      </c>
      <c r="F45" s="153">
        <v>1666</v>
      </c>
      <c r="G45" s="286" t="s">
        <v>508</v>
      </c>
      <c r="H45" s="155">
        <v>20.588235294117645</v>
      </c>
      <c r="I45" s="286" t="s">
        <v>508</v>
      </c>
      <c r="J45" s="153">
        <v>6426</v>
      </c>
      <c r="K45" s="286" t="s">
        <v>508</v>
      </c>
      <c r="L45" s="155">
        <v>79.411764705882348</v>
      </c>
      <c r="M45" s="286" t="s">
        <v>508</v>
      </c>
    </row>
    <row r="46" spans="1:13" s="142" customFormat="1" ht="12.75" customHeight="1" x14ac:dyDescent="0.25">
      <c r="A46" s="151"/>
      <c r="B46" s="152" t="s">
        <v>3</v>
      </c>
      <c r="C46" s="219"/>
      <c r="D46" s="153">
        <v>7642</v>
      </c>
      <c r="E46" s="286" t="s">
        <v>508</v>
      </c>
      <c r="F46" s="153">
        <v>1596</v>
      </c>
      <c r="G46" s="286" t="s">
        <v>508</v>
      </c>
      <c r="H46" s="155">
        <v>20.88458518712379</v>
      </c>
      <c r="I46" s="286" t="s">
        <v>508</v>
      </c>
      <c r="J46" s="153">
        <v>6046</v>
      </c>
      <c r="K46" s="286" t="s">
        <v>508</v>
      </c>
      <c r="L46" s="155">
        <v>79.11541481287621</v>
      </c>
      <c r="M46" s="286" t="s">
        <v>508</v>
      </c>
    </row>
    <row r="47" spans="1:13" s="142" customFormat="1" ht="12.75" customHeight="1" x14ac:dyDescent="0.25">
      <c r="A47" s="151"/>
      <c r="B47" s="152" t="s">
        <v>4</v>
      </c>
      <c r="C47" s="219"/>
      <c r="D47" s="153">
        <v>6921</v>
      </c>
      <c r="E47" s="286" t="s">
        <v>508</v>
      </c>
      <c r="F47" s="153">
        <v>1434</v>
      </c>
      <c r="G47" s="286" t="s">
        <v>508</v>
      </c>
      <c r="H47" s="155">
        <v>20.719549198092761</v>
      </c>
      <c r="I47" s="286" t="s">
        <v>508</v>
      </c>
      <c r="J47" s="153">
        <v>5487</v>
      </c>
      <c r="K47" s="286" t="s">
        <v>508</v>
      </c>
      <c r="L47" s="155">
        <v>79.28045080190725</v>
      </c>
      <c r="M47" s="286" t="s">
        <v>508</v>
      </c>
    </row>
    <row r="48" spans="1:13" s="142" customFormat="1" ht="12.75" customHeight="1" x14ac:dyDescent="0.25">
      <c r="A48" s="151"/>
      <c r="B48" s="152"/>
      <c r="C48" s="219"/>
      <c r="D48" s="153"/>
      <c r="E48" s="286"/>
      <c r="F48" s="153"/>
      <c r="G48" s="286"/>
      <c r="H48" s="155"/>
      <c r="I48" s="286"/>
      <c r="J48" s="153"/>
      <c r="K48" s="286"/>
      <c r="L48" s="155"/>
      <c r="M48" s="286"/>
    </row>
    <row r="49" spans="1:13" s="142" customFormat="1" ht="12.75" customHeight="1" x14ac:dyDescent="0.25">
      <c r="A49" s="151">
        <v>2013</v>
      </c>
      <c r="B49" s="152" t="s">
        <v>1</v>
      </c>
      <c r="C49" s="219"/>
      <c r="D49" s="153">
        <v>6673</v>
      </c>
      <c r="E49" s="286" t="s">
        <v>508</v>
      </c>
      <c r="F49" s="153">
        <v>1293</v>
      </c>
      <c r="G49" s="286" t="s">
        <v>508</v>
      </c>
      <c r="H49" s="155">
        <v>19.376592237374492</v>
      </c>
      <c r="I49" s="286" t="s">
        <v>508</v>
      </c>
      <c r="J49" s="153">
        <v>5380</v>
      </c>
      <c r="K49" s="286" t="s">
        <v>508</v>
      </c>
      <c r="L49" s="155">
        <v>80.623407762625504</v>
      </c>
      <c r="M49" s="286" t="s">
        <v>508</v>
      </c>
    </row>
    <row r="50" spans="1:13" s="142" customFormat="1" ht="12.75" customHeight="1" x14ac:dyDescent="0.25">
      <c r="A50" s="151"/>
      <c r="B50" s="152" t="s">
        <v>2</v>
      </c>
      <c r="C50" s="219"/>
      <c r="D50" s="153">
        <v>6480</v>
      </c>
      <c r="E50" s="286" t="s">
        <v>508</v>
      </c>
      <c r="F50" s="153">
        <v>1403</v>
      </c>
      <c r="G50" s="286" t="s">
        <v>508</v>
      </c>
      <c r="H50" s="155">
        <v>21.651234567901234</v>
      </c>
      <c r="I50" s="286" t="s">
        <v>508</v>
      </c>
      <c r="J50" s="153">
        <v>5077</v>
      </c>
      <c r="K50" s="286" t="s">
        <v>508</v>
      </c>
      <c r="L50" s="155">
        <v>78.348765432098759</v>
      </c>
      <c r="M50" s="286" t="s">
        <v>508</v>
      </c>
    </row>
    <row r="51" spans="1:13" s="142" customFormat="1" ht="12.75" customHeight="1" x14ac:dyDescent="0.25">
      <c r="A51" s="151"/>
      <c r="B51" s="152" t="s">
        <v>3</v>
      </c>
      <c r="C51" s="219"/>
      <c r="D51" s="153">
        <v>6009</v>
      </c>
      <c r="E51" s="286" t="s">
        <v>508</v>
      </c>
      <c r="F51" s="153">
        <v>1458</v>
      </c>
      <c r="G51" s="286" t="s">
        <v>508</v>
      </c>
      <c r="H51" s="155">
        <v>24.263604593110337</v>
      </c>
      <c r="I51" s="286" t="s">
        <v>508</v>
      </c>
      <c r="J51" s="153">
        <v>4551</v>
      </c>
      <c r="K51" s="286" t="s">
        <v>508</v>
      </c>
      <c r="L51" s="155">
        <v>75.73639540688967</v>
      </c>
      <c r="M51" s="286" t="s">
        <v>508</v>
      </c>
    </row>
    <row r="52" spans="1:13" s="142" customFormat="1" ht="12.75" customHeight="1" x14ac:dyDescent="0.25">
      <c r="A52" s="151"/>
      <c r="B52" s="152" t="s">
        <v>4</v>
      </c>
      <c r="C52" s="219"/>
      <c r="D52" s="153">
        <v>5409</v>
      </c>
      <c r="E52" s="286" t="s">
        <v>508</v>
      </c>
      <c r="F52" s="153">
        <v>1223</v>
      </c>
      <c r="G52" s="286" t="s">
        <v>508</v>
      </c>
      <c r="H52" s="155">
        <v>22.610464041412463</v>
      </c>
      <c r="I52" s="286" t="s">
        <v>508</v>
      </c>
      <c r="J52" s="153">
        <v>4186</v>
      </c>
      <c r="K52" s="286" t="s">
        <v>508</v>
      </c>
      <c r="L52" s="155">
        <v>77.389535958587544</v>
      </c>
      <c r="M52" s="286" t="s">
        <v>508</v>
      </c>
    </row>
    <row r="53" spans="1:13" s="142" customFormat="1" ht="12.75" customHeight="1" x14ac:dyDescent="0.25">
      <c r="A53" s="151"/>
      <c r="B53" s="152"/>
      <c r="C53" s="219"/>
      <c r="D53" s="153"/>
      <c r="E53" s="286"/>
      <c r="F53" s="153"/>
      <c r="G53" s="286"/>
      <c r="H53" s="155"/>
      <c r="I53" s="286"/>
      <c r="J53" s="153"/>
      <c r="K53" s="286"/>
      <c r="L53" s="155"/>
      <c r="M53" s="286"/>
    </row>
    <row r="54" spans="1:13" s="142" customFormat="1" ht="12.75" customHeight="1" x14ac:dyDescent="0.25">
      <c r="A54" s="151">
        <v>2014</v>
      </c>
      <c r="B54" s="152" t="s">
        <v>1</v>
      </c>
      <c r="C54" s="219"/>
      <c r="D54" s="153">
        <v>5681</v>
      </c>
      <c r="E54" s="286" t="s">
        <v>508</v>
      </c>
      <c r="F54" s="153">
        <v>1253</v>
      </c>
      <c r="G54" s="286" t="s">
        <v>508</v>
      </c>
      <c r="H54" s="155">
        <v>22.05597606055272</v>
      </c>
      <c r="I54" s="286" t="s">
        <v>508</v>
      </c>
      <c r="J54" s="153">
        <v>4428</v>
      </c>
      <c r="K54" s="286" t="s">
        <v>508</v>
      </c>
      <c r="L54" s="155">
        <v>77.944023939447277</v>
      </c>
      <c r="M54" s="286" t="s">
        <v>508</v>
      </c>
    </row>
    <row r="55" spans="1:13" s="142" customFormat="1" ht="12.75" customHeight="1" x14ac:dyDescent="0.25">
      <c r="A55" s="151"/>
      <c r="B55" s="152" t="s">
        <v>2</v>
      </c>
      <c r="C55" s="219"/>
      <c r="D55" s="153">
        <v>5475</v>
      </c>
      <c r="E55" s="286" t="s">
        <v>508</v>
      </c>
      <c r="F55" s="153">
        <v>1324</v>
      </c>
      <c r="G55" s="286" t="s">
        <v>508</v>
      </c>
      <c r="H55" s="155">
        <v>24.182648401826484</v>
      </c>
      <c r="I55" s="286" t="s">
        <v>508</v>
      </c>
      <c r="J55" s="153">
        <v>4151</v>
      </c>
      <c r="K55" s="286" t="s">
        <v>508</v>
      </c>
      <c r="L55" s="155">
        <v>75.817351598173516</v>
      </c>
      <c r="M55" s="286" t="s">
        <v>508</v>
      </c>
    </row>
    <row r="56" spans="1:13" s="142" customFormat="1" ht="12.75" customHeight="1" x14ac:dyDescent="0.25">
      <c r="A56" s="151"/>
      <c r="B56" s="152" t="s">
        <v>3</v>
      </c>
      <c r="C56" s="219"/>
      <c r="D56" s="153">
        <v>4907</v>
      </c>
      <c r="E56" s="286" t="s">
        <v>508</v>
      </c>
      <c r="F56" s="153">
        <v>1239</v>
      </c>
      <c r="G56" s="286" t="s">
        <v>508</v>
      </c>
      <c r="H56" s="155">
        <v>25.249643366619118</v>
      </c>
      <c r="I56" s="286" t="s">
        <v>508</v>
      </c>
      <c r="J56" s="153">
        <v>3668</v>
      </c>
      <c r="K56" s="286" t="s">
        <v>508</v>
      </c>
      <c r="L56" s="155">
        <v>74.750356633380889</v>
      </c>
      <c r="M56" s="286" t="s">
        <v>508</v>
      </c>
    </row>
    <row r="57" spans="1:13" s="142" customFormat="1" ht="12.75" customHeight="1" x14ac:dyDescent="0.25">
      <c r="A57" s="151"/>
      <c r="B57" s="152" t="s">
        <v>4</v>
      </c>
      <c r="C57" s="219"/>
      <c r="D57" s="153">
        <v>4282</v>
      </c>
      <c r="E57" s="286" t="s">
        <v>508</v>
      </c>
      <c r="F57" s="153">
        <v>966</v>
      </c>
      <c r="G57" s="286" t="s">
        <v>508</v>
      </c>
      <c r="H57" s="155">
        <v>22.559551611396543</v>
      </c>
      <c r="I57" s="286" t="s">
        <v>508</v>
      </c>
      <c r="J57" s="153">
        <v>3316</v>
      </c>
      <c r="K57" s="286" t="s">
        <v>508</v>
      </c>
      <c r="L57" s="155">
        <v>77.440448388603457</v>
      </c>
      <c r="M57" s="286" t="s">
        <v>508</v>
      </c>
    </row>
    <row r="58" spans="1:13" s="142" customFormat="1" ht="12.75" customHeight="1" x14ac:dyDescent="0.25">
      <c r="A58" s="151"/>
      <c r="B58" s="152"/>
      <c r="C58" s="219"/>
      <c r="D58" s="153"/>
      <c r="E58" s="286"/>
      <c r="F58" s="153"/>
      <c r="G58" s="286"/>
      <c r="H58" s="155"/>
      <c r="I58" s="286"/>
      <c r="J58" s="153"/>
      <c r="K58" s="286"/>
      <c r="L58" s="155"/>
      <c r="M58" s="286"/>
    </row>
    <row r="59" spans="1:13" s="142" customFormat="1" ht="12.75" customHeight="1" x14ac:dyDescent="0.25">
      <c r="A59" s="151">
        <v>2015</v>
      </c>
      <c r="B59" s="152" t="s">
        <v>1</v>
      </c>
      <c r="C59" s="219"/>
      <c r="D59" s="153">
        <v>4404</v>
      </c>
      <c r="E59" s="286" t="s">
        <v>508</v>
      </c>
      <c r="F59" s="153">
        <v>1094</v>
      </c>
      <c r="G59" s="286" t="s">
        <v>508</v>
      </c>
      <c r="H59" s="155">
        <v>24.841053587647593</v>
      </c>
      <c r="I59" s="286" t="s">
        <v>508</v>
      </c>
      <c r="J59" s="153">
        <v>3310</v>
      </c>
      <c r="K59" s="286" t="s">
        <v>508</v>
      </c>
      <c r="L59" s="155">
        <v>75.158946412352407</v>
      </c>
      <c r="M59" s="286" t="s">
        <v>508</v>
      </c>
    </row>
    <row r="60" spans="1:13" s="142" customFormat="1" ht="12.75" customHeight="1" x14ac:dyDescent="0.25">
      <c r="A60" s="151"/>
      <c r="B60" s="152" t="s">
        <v>2</v>
      </c>
      <c r="C60" s="219"/>
      <c r="D60" s="153">
        <v>3975</v>
      </c>
      <c r="E60" s="286" t="s">
        <v>508</v>
      </c>
      <c r="F60" s="153">
        <v>1056</v>
      </c>
      <c r="G60" s="286" t="s">
        <v>508</v>
      </c>
      <c r="H60" s="155">
        <v>26.566037735849058</v>
      </c>
      <c r="I60" s="286" t="s">
        <v>508</v>
      </c>
      <c r="J60" s="153">
        <v>2919</v>
      </c>
      <c r="K60" s="286" t="s">
        <v>508</v>
      </c>
      <c r="L60" s="155">
        <v>73.433962264150949</v>
      </c>
      <c r="M60" s="286" t="s">
        <v>508</v>
      </c>
    </row>
    <row r="61" spans="1:13" s="142" customFormat="1" ht="12.75" customHeight="1" x14ac:dyDescent="0.25">
      <c r="A61" s="151"/>
      <c r="B61" s="152" t="s">
        <v>3</v>
      </c>
      <c r="C61" s="219"/>
      <c r="D61" s="153">
        <v>3896</v>
      </c>
      <c r="E61" s="286" t="s">
        <v>508</v>
      </c>
      <c r="F61" s="153">
        <v>1160</v>
      </c>
      <c r="G61" s="286" t="s">
        <v>508</v>
      </c>
      <c r="H61" s="155">
        <v>29.774127310061605</v>
      </c>
      <c r="I61" s="286" t="s">
        <v>508</v>
      </c>
      <c r="J61" s="153">
        <v>2736</v>
      </c>
      <c r="K61" s="286" t="s">
        <v>508</v>
      </c>
      <c r="L61" s="155">
        <v>70.225872689938399</v>
      </c>
      <c r="M61" s="286" t="s">
        <v>508</v>
      </c>
    </row>
    <row r="62" spans="1:13" s="142" customFormat="1" ht="12.75" customHeight="1" x14ac:dyDescent="0.25">
      <c r="A62" s="151"/>
      <c r="B62" s="152" t="s">
        <v>4</v>
      </c>
      <c r="C62" s="219"/>
      <c r="D62" s="153">
        <v>3570</v>
      </c>
      <c r="E62" s="286" t="s">
        <v>508</v>
      </c>
      <c r="F62" s="153">
        <v>1095</v>
      </c>
      <c r="G62" s="286" t="s">
        <v>508</v>
      </c>
      <c r="H62" s="155">
        <v>30.672268907563026</v>
      </c>
      <c r="I62" s="286" t="s">
        <v>508</v>
      </c>
      <c r="J62" s="153">
        <v>2475</v>
      </c>
      <c r="K62" s="286" t="s">
        <v>508</v>
      </c>
      <c r="L62" s="155">
        <v>69.327731092436977</v>
      </c>
      <c r="M62" s="286" t="s">
        <v>508</v>
      </c>
    </row>
    <row r="63" spans="1:13" s="142" customFormat="1" ht="12.75" customHeight="1" x14ac:dyDescent="0.25">
      <c r="A63" s="151"/>
      <c r="B63" s="152"/>
      <c r="C63" s="219"/>
      <c r="D63" s="153"/>
      <c r="E63" s="286"/>
      <c r="F63" s="153"/>
      <c r="G63" s="286"/>
      <c r="H63" s="155"/>
      <c r="I63" s="286"/>
      <c r="J63" s="153"/>
      <c r="K63" s="286"/>
      <c r="L63" s="155"/>
      <c r="M63" s="286"/>
    </row>
    <row r="64" spans="1:13" s="142" customFormat="1" ht="12.75" customHeight="1" x14ac:dyDescent="0.25">
      <c r="A64" s="151">
        <v>2016</v>
      </c>
      <c r="B64" s="152" t="s">
        <v>1</v>
      </c>
      <c r="C64" s="219"/>
      <c r="D64" s="153">
        <v>3775</v>
      </c>
      <c r="E64" s="286" t="s">
        <v>508</v>
      </c>
      <c r="F64" s="153">
        <v>1094</v>
      </c>
      <c r="G64" s="286" t="s">
        <v>508</v>
      </c>
      <c r="H64" s="155">
        <v>28.980132450331126</v>
      </c>
      <c r="I64" s="286" t="s">
        <v>508</v>
      </c>
      <c r="J64" s="153">
        <v>2681</v>
      </c>
      <c r="K64" s="286" t="s">
        <v>508</v>
      </c>
      <c r="L64" s="155">
        <v>71.019867549668874</v>
      </c>
      <c r="M64" s="286" t="s">
        <v>508</v>
      </c>
    </row>
    <row r="65" spans="1:27" s="142" customFormat="1" ht="12.75" customHeight="1" x14ac:dyDescent="0.25">
      <c r="A65" s="151"/>
      <c r="B65" s="152" t="s">
        <v>2</v>
      </c>
      <c r="C65" s="219"/>
      <c r="D65" s="153">
        <v>3688</v>
      </c>
      <c r="E65" s="286" t="s">
        <v>508</v>
      </c>
      <c r="F65" s="153">
        <v>941</v>
      </c>
      <c r="G65" s="286" t="s">
        <v>508</v>
      </c>
      <c r="H65" s="155">
        <v>25.515184381778745</v>
      </c>
      <c r="I65" s="286" t="s">
        <v>508</v>
      </c>
      <c r="J65" s="153">
        <v>2747</v>
      </c>
      <c r="K65" s="286" t="s">
        <v>508</v>
      </c>
      <c r="L65" s="155">
        <v>74.484815618221262</v>
      </c>
      <c r="M65" s="286" t="s">
        <v>508</v>
      </c>
    </row>
    <row r="66" spans="1:27" s="142" customFormat="1" ht="12.75" customHeight="1" x14ac:dyDescent="0.25">
      <c r="A66" s="151"/>
      <c r="B66" s="152" t="s">
        <v>3</v>
      </c>
      <c r="C66" s="219"/>
      <c r="D66" s="153">
        <v>3925</v>
      </c>
      <c r="E66" s="286" t="s">
        <v>508</v>
      </c>
      <c r="F66" s="153">
        <v>928</v>
      </c>
      <c r="G66" s="286" t="s">
        <v>508</v>
      </c>
      <c r="H66" s="155">
        <v>23.643312101910826</v>
      </c>
      <c r="I66" s="286" t="s">
        <v>508</v>
      </c>
      <c r="J66" s="153">
        <v>2997</v>
      </c>
      <c r="K66" s="286" t="s">
        <v>508</v>
      </c>
      <c r="L66" s="155">
        <v>76.356687898089177</v>
      </c>
      <c r="M66" s="286" t="s">
        <v>508</v>
      </c>
    </row>
    <row r="67" spans="1:27" s="142" customFormat="1" ht="12.75" customHeight="1" x14ac:dyDescent="0.25">
      <c r="A67" s="152"/>
      <c r="B67" s="152" t="s">
        <v>4</v>
      </c>
      <c r="C67" s="219" t="s">
        <v>197</v>
      </c>
      <c r="D67" s="153">
        <v>3618</v>
      </c>
      <c r="E67" s="286" t="s">
        <v>280</v>
      </c>
      <c r="F67" s="153">
        <v>901</v>
      </c>
      <c r="G67" s="286" t="s">
        <v>280</v>
      </c>
      <c r="H67" s="155">
        <v>24.903261470425651</v>
      </c>
      <c r="I67" s="286" t="s">
        <v>280</v>
      </c>
      <c r="J67" s="153">
        <v>2717</v>
      </c>
      <c r="K67" s="286" t="s">
        <v>280</v>
      </c>
      <c r="L67" s="155">
        <v>75.096738529574353</v>
      </c>
      <c r="M67" s="286" t="s">
        <v>280</v>
      </c>
    </row>
    <row r="68" spans="1:27" s="142" customFormat="1" ht="12.75" customHeight="1" x14ac:dyDescent="0.25">
      <c r="A68" s="151"/>
      <c r="B68" s="152"/>
      <c r="C68" s="219"/>
      <c r="D68" s="153"/>
      <c r="E68" s="286"/>
      <c r="F68" s="153"/>
      <c r="G68" s="286"/>
      <c r="H68" s="155"/>
      <c r="I68" s="286"/>
      <c r="J68" s="153"/>
      <c r="K68" s="286"/>
      <c r="L68" s="155"/>
      <c r="M68" s="286"/>
    </row>
    <row r="69" spans="1:27" s="142" customFormat="1" ht="12.75" customHeight="1" x14ac:dyDescent="0.25">
      <c r="A69" s="151">
        <v>2017</v>
      </c>
      <c r="B69" s="152" t="s">
        <v>1</v>
      </c>
      <c r="C69" s="219" t="s">
        <v>415</v>
      </c>
      <c r="D69" s="153">
        <v>4072</v>
      </c>
      <c r="E69" s="286" t="s">
        <v>508</v>
      </c>
      <c r="F69" s="153">
        <v>892</v>
      </c>
      <c r="G69" s="286" t="s">
        <v>508</v>
      </c>
      <c r="H69" s="155">
        <v>21.905697445972493</v>
      </c>
      <c r="I69" s="286" t="s">
        <v>508</v>
      </c>
      <c r="J69" s="153">
        <v>3180</v>
      </c>
      <c r="K69" s="286" t="s">
        <v>508</v>
      </c>
      <c r="L69" s="155">
        <v>78.094302554027507</v>
      </c>
      <c r="M69" s="286" t="s">
        <v>508</v>
      </c>
      <c r="AA69" s="142" t="s">
        <v>508</v>
      </c>
    </row>
    <row r="70" spans="1:27" s="142" customFormat="1" ht="12.75" customHeight="1" thickBot="1" x14ac:dyDescent="0.3">
      <c r="A70" s="152"/>
      <c r="B70" s="156"/>
      <c r="C70" s="220"/>
      <c r="D70" s="153"/>
      <c r="E70" s="286"/>
      <c r="F70" s="153"/>
      <c r="G70" s="286"/>
      <c r="H70" s="155"/>
      <c r="I70" s="286"/>
      <c r="J70" s="153"/>
      <c r="K70" s="286"/>
      <c r="L70" s="155"/>
      <c r="M70" s="286"/>
    </row>
    <row r="71" spans="1:27" s="142" customFormat="1" ht="12.75" customHeight="1" x14ac:dyDescent="0.2">
      <c r="A71" s="159" t="s">
        <v>509</v>
      </c>
      <c r="B71" s="159"/>
      <c r="C71" s="221"/>
      <c r="D71" s="159"/>
      <c r="E71" s="159"/>
      <c r="F71" s="159"/>
      <c r="G71" s="159"/>
      <c r="H71" s="201"/>
      <c r="I71" s="159"/>
      <c r="J71" s="159"/>
      <c r="K71" s="159"/>
      <c r="L71" s="201"/>
      <c r="M71" s="159"/>
    </row>
    <row r="72" spans="1:27" s="142" customFormat="1" ht="12.75" customHeight="1" x14ac:dyDescent="0.2">
      <c r="A72" s="160"/>
      <c r="B72" s="160"/>
      <c r="C72" s="161"/>
      <c r="D72" s="160"/>
      <c r="E72" s="160"/>
      <c r="F72" s="160"/>
      <c r="G72" s="160"/>
      <c r="H72" s="202"/>
      <c r="I72" s="160"/>
      <c r="J72" s="160"/>
      <c r="K72" s="160"/>
      <c r="L72" s="202"/>
      <c r="M72" s="160"/>
    </row>
    <row r="73" spans="1:27" s="142" customFormat="1" ht="12.75" hidden="1" customHeight="1" x14ac:dyDescent="0.2">
      <c r="A73" s="162">
        <v>2016</v>
      </c>
      <c r="B73" s="163" t="s">
        <v>4</v>
      </c>
      <c r="C73" s="222"/>
      <c r="D73" s="164" t="s">
        <v>121</v>
      </c>
      <c r="E73" s="160"/>
      <c r="F73" s="164" t="s">
        <v>121</v>
      </c>
      <c r="G73" s="160"/>
      <c r="H73" s="203"/>
      <c r="I73" s="160"/>
      <c r="J73" s="164" t="s">
        <v>121</v>
      </c>
      <c r="K73" s="160"/>
      <c r="L73" s="203"/>
      <c r="M73" s="160"/>
    </row>
    <row r="74" spans="1:27" s="142" customFormat="1" ht="12.75" hidden="1" customHeight="1" x14ac:dyDescent="0.2">
      <c r="A74" s="165"/>
      <c r="B74" s="166"/>
      <c r="C74" s="223"/>
      <c r="D74" s="167"/>
      <c r="E74" s="287"/>
      <c r="F74" s="167"/>
      <c r="G74" s="287"/>
      <c r="H74" s="204"/>
      <c r="I74" s="287"/>
      <c r="J74" s="167"/>
      <c r="K74" s="287"/>
      <c r="L74" s="204"/>
      <c r="M74" s="287"/>
    </row>
    <row r="75" spans="1:27" s="142" customFormat="1" ht="12.75" customHeight="1" thickBot="1" x14ac:dyDescent="0.25">
      <c r="A75" s="157">
        <v>2016</v>
      </c>
      <c r="B75" s="158" t="s">
        <v>1</v>
      </c>
      <c r="C75" s="224"/>
      <c r="D75" s="168">
        <v>7.8675496688741742</v>
      </c>
      <c r="E75" s="288"/>
      <c r="F75" s="168">
        <v>-18.46435100548446</v>
      </c>
      <c r="G75" s="288"/>
      <c r="H75" s="205"/>
      <c r="I75" s="288"/>
      <c r="J75" s="168">
        <v>18.612458038045499</v>
      </c>
      <c r="K75" s="288"/>
      <c r="L75" s="205"/>
      <c r="M75" s="288"/>
    </row>
    <row r="76" spans="1:27" s="169" customFormat="1" ht="12.75" customHeight="1" x14ac:dyDescent="0.2">
      <c r="A76" s="342"/>
      <c r="B76" s="342"/>
      <c r="C76" s="342"/>
      <c r="D76" s="342"/>
      <c r="E76" s="342"/>
      <c r="F76" s="342"/>
      <c r="G76" s="342"/>
      <c r="H76" s="342"/>
      <c r="I76" s="342"/>
      <c r="J76" s="342"/>
      <c r="K76" s="342"/>
      <c r="L76" s="342"/>
      <c r="M76" s="342"/>
    </row>
    <row r="77" spans="1:27" s="169" customFormat="1" ht="29.25" customHeight="1" x14ac:dyDescent="0.2">
      <c r="A77" s="340" t="s">
        <v>491</v>
      </c>
      <c r="B77" s="340"/>
      <c r="C77" s="340"/>
      <c r="D77" s="340"/>
      <c r="E77" s="340"/>
      <c r="F77" s="340"/>
      <c r="G77" s="340"/>
      <c r="H77" s="340"/>
      <c r="I77" s="340"/>
      <c r="J77" s="340"/>
      <c r="K77" s="340"/>
      <c r="L77" s="340"/>
      <c r="M77" s="340"/>
    </row>
    <row r="78" spans="1:27" s="169" customFormat="1" ht="33.75" customHeight="1" x14ac:dyDescent="0.2">
      <c r="A78" s="340" t="s">
        <v>497</v>
      </c>
      <c r="B78" s="340"/>
      <c r="C78" s="340"/>
      <c r="D78" s="340"/>
      <c r="E78" s="340"/>
      <c r="F78" s="340"/>
      <c r="G78" s="340"/>
      <c r="H78" s="340"/>
      <c r="I78" s="340"/>
      <c r="J78" s="340"/>
      <c r="K78" s="340"/>
      <c r="L78" s="340"/>
      <c r="M78" s="340"/>
    </row>
    <row r="79" spans="1:27" s="170" customFormat="1" ht="47.25" customHeight="1" x14ac:dyDescent="0.3">
      <c r="A79" s="340" t="s">
        <v>490</v>
      </c>
      <c r="B79" s="340"/>
      <c r="C79" s="340"/>
      <c r="D79" s="340"/>
      <c r="E79" s="340"/>
      <c r="F79" s="340"/>
      <c r="G79" s="340"/>
      <c r="H79" s="340"/>
      <c r="I79" s="340"/>
      <c r="J79" s="340"/>
      <c r="K79" s="340"/>
      <c r="L79" s="340"/>
      <c r="M79" s="340"/>
    </row>
    <row r="80" spans="1:27" s="171" customFormat="1" ht="15" x14ac:dyDescent="0.3">
      <c r="A80" s="345"/>
      <c r="B80" s="345"/>
      <c r="C80" s="345"/>
      <c r="D80" s="345"/>
      <c r="E80" s="345"/>
      <c r="F80" s="345"/>
      <c r="G80" s="345"/>
      <c r="H80" s="345"/>
      <c r="I80" s="345"/>
      <c r="J80" s="345"/>
      <c r="K80" s="345"/>
      <c r="L80" s="345"/>
      <c r="M80" s="345"/>
    </row>
    <row r="81" spans="1:13" s="171" customFormat="1" ht="27.75" customHeight="1" x14ac:dyDescent="0.3">
      <c r="A81" s="345"/>
      <c r="B81" s="345"/>
      <c r="C81" s="345"/>
      <c r="D81" s="345"/>
      <c r="E81" s="345"/>
      <c r="F81" s="345"/>
      <c r="G81" s="345"/>
      <c r="H81" s="345"/>
      <c r="I81" s="345"/>
      <c r="J81" s="345"/>
      <c r="K81" s="345"/>
      <c r="L81" s="345"/>
      <c r="M81" s="345"/>
    </row>
    <row r="82" spans="1:13" ht="12.75" customHeight="1" x14ac:dyDescent="0.3">
      <c r="A82" s="345"/>
      <c r="B82" s="345"/>
      <c r="C82" s="345"/>
      <c r="D82" s="345"/>
      <c r="E82" s="345"/>
      <c r="F82" s="345"/>
      <c r="G82" s="345"/>
      <c r="H82" s="345"/>
      <c r="I82" s="345"/>
      <c r="J82" s="345"/>
      <c r="K82" s="345"/>
      <c r="L82" s="345"/>
      <c r="M82" s="345"/>
    </row>
    <row r="83" spans="1:13" ht="12.75" customHeight="1" x14ac:dyDescent="0.3">
      <c r="A83" s="345"/>
      <c r="B83" s="345"/>
      <c r="C83" s="345"/>
      <c r="D83" s="345"/>
      <c r="E83" s="345"/>
      <c r="F83" s="345"/>
      <c r="G83" s="345"/>
      <c r="H83" s="345"/>
      <c r="I83" s="345"/>
      <c r="J83" s="345"/>
      <c r="K83" s="345"/>
      <c r="L83" s="345"/>
      <c r="M83" s="345"/>
    </row>
    <row r="84" spans="1:13" ht="12.75" customHeight="1" x14ac:dyDescent="0.3">
      <c r="A84" s="345"/>
      <c r="B84" s="345"/>
      <c r="C84" s="345"/>
      <c r="D84" s="345"/>
      <c r="E84" s="345"/>
      <c r="F84" s="345"/>
      <c r="G84" s="345"/>
      <c r="H84" s="345"/>
      <c r="I84" s="345"/>
      <c r="J84" s="345"/>
      <c r="K84" s="345"/>
      <c r="L84" s="345"/>
      <c r="M84" s="345"/>
    </row>
    <row r="85" spans="1:13" ht="12.75" customHeight="1" x14ac:dyDescent="0.3">
      <c r="A85" s="345"/>
      <c r="B85" s="345"/>
      <c r="C85" s="345"/>
      <c r="D85" s="345"/>
      <c r="E85" s="345"/>
      <c r="F85" s="345"/>
      <c r="G85" s="345"/>
      <c r="H85" s="345"/>
      <c r="I85" s="345"/>
      <c r="J85" s="345"/>
      <c r="K85" s="345"/>
      <c r="L85" s="345"/>
      <c r="M85" s="345"/>
    </row>
    <row r="86" spans="1:13" ht="12.75" customHeight="1" x14ac:dyDescent="0.3">
      <c r="A86" s="345"/>
      <c r="B86" s="345"/>
      <c r="C86" s="345"/>
      <c r="D86" s="345"/>
      <c r="E86" s="345"/>
      <c r="F86" s="345"/>
      <c r="G86" s="345"/>
      <c r="H86" s="345"/>
      <c r="I86" s="345"/>
      <c r="J86" s="345"/>
      <c r="K86" s="345"/>
      <c r="L86" s="345"/>
      <c r="M86" s="345"/>
    </row>
    <row r="87" spans="1:13" ht="12.75" customHeight="1" x14ac:dyDescent="0.3">
      <c r="A87" s="345"/>
      <c r="B87" s="345"/>
      <c r="C87" s="345"/>
      <c r="D87" s="345"/>
      <c r="E87" s="345"/>
      <c r="F87" s="345"/>
      <c r="G87" s="345"/>
      <c r="H87" s="345"/>
      <c r="I87" s="345"/>
      <c r="J87" s="345"/>
      <c r="K87" s="345"/>
      <c r="L87" s="345"/>
      <c r="M87" s="345"/>
    </row>
  </sheetData>
  <dataConsolidate/>
  <mergeCells count="21">
    <mergeCell ref="J4:M4"/>
    <mergeCell ref="A76:M76"/>
    <mergeCell ref="A77:M77"/>
    <mergeCell ref="A79:M79"/>
    <mergeCell ref="A80:M80"/>
    <mergeCell ref="L7:M7"/>
    <mergeCell ref="D5:E7"/>
    <mergeCell ref="A78:M78"/>
    <mergeCell ref="A87:M87"/>
    <mergeCell ref="F5:M5"/>
    <mergeCell ref="F6:I6"/>
    <mergeCell ref="J6:M6"/>
    <mergeCell ref="F7:G7"/>
    <mergeCell ref="H7:I7"/>
    <mergeCell ref="J7:K7"/>
    <mergeCell ref="A81:M81"/>
    <mergeCell ref="A82:M82"/>
    <mergeCell ref="A83:M83"/>
    <mergeCell ref="A84:M84"/>
    <mergeCell ref="A85:M85"/>
    <mergeCell ref="A86:M86"/>
  </mergeCells>
  <hyperlinks>
    <hyperlink ref="A3" location="'Table Contents'!A1" display="Back to contents"/>
  </hyperlinks>
  <printOptions horizontalCentered="1" verticalCentered="1" gridLinesSet="0"/>
  <pageMargins left="0.19685039370078741" right="0.19685039370078741" top="0.19685039370078741" bottom="0.19685039370078741" header="0.39370078740157483" footer="0.39370078740157483"/>
  <pageSetup paperSize="9" scale="73" orientation="portrait" horizontalDpi="300" verticalDpi="4294967292"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AA86"/>
  <sheetViews>
    <sheetView showGridLines="0" zoomScaleNormal="100" workbookViewId="0">
      <pane xSplit="3" ySplit="6" topLeftCell="D7" activePane="bottomRight" state="frozen"/>
      <selection activeCell="AA2" sqref="AA2"/>
      <selection pane="topRight" activeCell="AA2" sqref="AA2"/>
      <selection pane="bottomLeft" activeCell="AA2" sqref="AA2"/>
      <selection pane="bottomRight" activeCell="D7" sqref="D7"/>
    </sheetView>
  </sheetViews>
  <sheetFormatPr defaultColWidth="8.85546875" defaultRowHeight="12.75" customHeight="1" x14ac:dyDescent="0.3"/>
  <cols>
    <col min="1" max="1" width="7.42578125" style="131" customWidth="1"/>
    <col min="2" max="2" width="4.85546875" style="131" customWidth="1"/>
    <col min="3" max="3" width="4.85546875" style="258" customWidth="1"/>
    <col min="4" max="4" width="12.7109375" style="172" customWidth="1"/>
    <col min="5" max="5" width="3.85546875" style="174" customWidth="1"/>
    <col min="6" max="6" width="14.5703125" style="172" customWidth="1"/>
    <col min="7" max="7" width="3.85546875" style="174" customWidth="1"/>
    <col min="8" max="8" width="14.5703125" style="134" customWidth="1"/>
    <col min="9" max="9" width="3.85546875" style="171" customWidth="1"/>
    <col min="10" max="10" width="12.28515625" style="134" customWidth="1"/>
    <col min="11" max="16384" width="8.85546875" style="134"/>
  </cols>
  <sheetData>
    <row r="1" spans="1:14" ht="12.75" customHeight="1" x14ac:dyDescent="0.3">
      <c r="B1" s="132"/>
      <c r="C1" s="132"/>
      <c r="D1" s="132"/>
      <c r="E1" s="133"/>
      <c r="F1" s="132"/>
      <c r="G1" s="133"/>
    </row>
    <row r="2" spans="1:14" s="136" customFormat="1" ht="31.5" customHeight="1" x14ac:dyDescent="0.3">
      <c r="A2" s="193" t="s">
        <v>180</v>
      </c>
      <c r="B2" s="194"/>
      <c r="C2" s="247"/>
      <c r="D2" s="195" t="s">
        <v>247</v>
      </c>
      <c r="E2" s="133"/>
      <c r="F2" s="132"/>
      <c r="G2" s="133"/>
      <c r="H2" s="132"/>
      <c r="I2" s="133"/>
      <c r="J2" s="132"/>
      <c r="K2" s="132"/>
      <c r="L2" s="132"/>
    </row>
    <row r="3" spans="1:14" s="136" customFormat="1" ht="19.5" x14ac:dyDescent="0.3">
      <c r="A3" s="196" t="s">
        <v>154</v>
      </c>
      <c r="B3" s="197"/>
      <c r="C3" s="248"/>
      <c r="D3" s="198" t="s">
        <v>244</v>
      </c>
      <c r="E3" s="283"/>
      <c r="F3" s="188"/>
      <c r="G3" s="133"/>
      <c r="H3" s="132"/>
      <c r="I3" s="133"/>
      <c r="J3" s="132"/>
      <c r="K3" s="132"/>
      <c r="L3" s="132"/>
    </row>
    <row r="4" spans="1:14" ht="10.5" customHeight="1" thickBot="1" x14ac:dyDescent="0.35">
      <c r="A4" s="137"/>
      <c r="B4" s="137"/>
      <c r="C4" s="137"/>
      <c r="D4" s="137"/>
      <c r="E4" s="215"/>
      <c r="F4" s="337"/>
      <c r="G4" s="337"/>
    </row>
    <row r="5" spans="1:14" ht="30.75" customHeight="1" thickBot="1" x14ac:dyDescent="0.35">
      <c r="A5" s="233"/>
      <c r="B5" s="233"/>
      <c r="C5" s="249"/>
      <c r="D5" s="349" t="s">
        <v>176</v>
      </c>
      <c r="E5" s="349"/>
      <c r="F5" s="348" t="s">
        <v>175</v>
      </c>
      <c r="G5" s="348"/>
      <c r="H5" s="348"/>
      <c r="I5" s="348"/>
    </row>
    <row r="6" spans="1:14" s="141" customFormat="1" ht="19.5" customHeight="1" thickBot="1" x14ac:dyDescent="0.35">
      <c r="A6" s="229"/>
      <c r="B6" s="230" t="s">
        <v>140</v>
      </c>
      <c r="C6" s="250"/>
      <c r="D6" s="350"/>
      <c r="E6" s="350"/>
      <c r="F6" s="347" t="s">
        <v>251</v>
      </c>
      <c r="G6" s="347"/>
      <c r="H6" s="347" t="s">
        <v>129</v>
      </c>
      <c r="I6" s="347"/>
    </row>
    <row r="7" spans="1:14" s="146" customFormat="1" ht="12.75" customHeight="1" x14ac:dyDescent="0.25">
      <c r="A7" s="143">
        <v>2007</v>
      </c>
      <c r="B7" s="143"/>
      <c r="C7" s="251"/>
      <c r="D7" s="144">
        <v>64480</v>
      </c>
      <c r="E7" s="145" t="s">
        <v>508</v>
      </c>
      <c r="F7" s="144">
        <v>7058</v>
      </c>
      <c r="G7" s="145" t="s">
        <v>508</v>
      </c>
      <c r="H7" s="144">
        <v>57421.999999999993</v>
      </c>
      <c r="I7" s="145" t="s">
        <v>508</v>
      </c>
    </row>
    <row r="8" spans="1:14" s="146" customFormat="1" ht="12.75" customHeight="1" x14ac:dyDescent="0.25">
      <c r="A8" s="143">
        <v>2008</v>
      </c>
      <c r="B8" s="143"/>
      <c r="C8" s="251"/>
      <c r="D8" s="144">
        <v>67428</v>
      </c>
      <c r="E8" s="145" t="s">
        <v>508</v>
      </c>
      <c r="F8" s="144">
        <v>8183.0000000000091</v>
      </c>
      <c r="G8" s="145" t="s">
        <v>508</v>
      </c>
      <c r="H8" s="144">
        <v>59245</v>
      </c>
      <c r="I8" s="145" t="s">
        <v>508</v>
      </c>
    </row>
    <row r="9" spans="1:14" s="146" customFormat="1" ht="12.75" customHeight="1" x14ac:dyDescent="0.25">
      <c r="A9" s="143">
        <v>2009</v>
      </c>
      <c r="B9" s="143"/>
      <c r="C9" s="251"/>
      <c r="D9" s="144">
        <v>74671</v>
      </c>
      <c r="E9" s="145" t="s">
        <v>508</v>
      </c>
      <c r="F9" s="144">
        <v>9753</v>
      </c>
      <c r="G9" s="145" t="s">
        <v>508</v>
      </c>
      <c r="H9" s="144">
        <v>64916.999999999993</v>
      </c>
      <c r="I9" s="145" t="s">
        <v>508</v>
      </c>
    </row>
    <row r="10" spans="1:14" s="146" customFormat="1" ht="12.75" customHeight="1" x14ac:dyDescent="0.25">
      <c r="A10" s="143">
        <v>2010</v>
      </c>
      <c r="B10" s="143"/>
      <c r="C10" s="251"/>
      <c r="D10" s="144">
        <v>59173</v>
      </c>
      <c r="E10" s="145" t="s">
        <v>508</v>
      </c>
      <c r="F10" s="144">
        <v>8143.9999999999909</v>
      </c>
      <c r="G10" s="145" t="s">
        <v>508</v>
      </c>
      <c r="H10" s="144">
        <v>51028.999999999993</v>
      </c>
      <c r="I10" s="145" t="s">
        <v>508</v>
      </c>
    </row>
    <row r="11" spans="1:14" s="146" customFormat="1" ht="12.75" customHeight="1" x14ac:dyDescent="0.25">
      <c r="A11" s="143">
        <v>2011</v>
      </c>
      <c r="B11" s="143"/>
      <c r="C11" s="251"/>
      <c r="D11" s="144">
        <v>41875.999999999942</v>
      </c>
      <c r="E11" s="145" t="s">
        <v>508</v>
      </c>
      <c r="F11" s="144">
        <v>8893.0000000000109</v>
      </c>
      <c r="G11" s="145" t="s">
        <v>508</v>
      </c>
      <c r="H11" s="144">
        <v>32983</v>
      </c>
      <c r="I11" s="145" t="s">
        <v>508</v>
      </c>
    </row>
    <row r="12" spans="1:14" s="146" customFormat="1" ht="12.75" customHeight="1" x14ac:dyDescent="0.25">
      <c r="A12" s="143">
        <v>2012</v>
      </c>
      <c r="B12" s="143"/>
      <c r="C12" s="251"/>
      <c r="D12" s="144">
        <v>31787.000000000011</v>
      </c>
      <c r="E12" s="145" t="s">
        <v>508</v>
      </c>
      <c r="F12" s="144">
        <v>7522.9999999999991</v>
      </c>
      <c r="G12" s="145" t="s">
        <v>508</v>
      </c>
      <c r="H12" s="144">
        <v>24264.000000000011</v>
      </c>
      <c r="I12" s="145" t="s">
        <v>508</v>
      </c>
    </row>
    <row r="13" spans="1:14" s="146" customFormat="1" ht="12.75" customHeight="1" x14ac:dyDescent="0.25">
      <c r="A13" s="143">
        <v>2013</v>
      </c>
      <c r="B13" s="143"/>
      <c r="C13" s="251"/>
      <c r="D13" s="144">
        <v>24570.999999999993</v>
      </c>
      <c r="E13" s="145" t="s">
        <v>508</v>
      </c>
      <c r="F13" s="144">
        <v>5999.00000000001</v>
      </c>
      <c r="G13" s="145" t="s">
        <v>508</v>
      </c>
      <c r="H13" s="144">
        <v>18572</v>
      </c>
      <c r="I13" s="145" t="s">
        <v>508</v>
      </c>
    </row>
    <row r="14" spans="1:14" s="146" customFormat="1" ht="12.75" customHeight="1" x14ac:dyDescent="0.25">
      <c r="A14" s="143">
        <v>2014</v>
      </c>
      <c r="B14" s="143"/>
      <c r="C14" s="251"/>
      <c r="D14" s="144">
        <v>20345</v>
      </c>
      <c r="E14" s="145" t="s">
        <v>508</v>
      </c>
      <c r="F14" s="144">
        <v>4956</v>
      </c>
      <c r="G14" s="145" t="s">
        <v>508</v>
      </c>
      <c r="H14" s="144">
        <v>15388.999999999989</v>
      </c>
      <c r="I14" s="145" t="s">
        <v>508</v>
      </c>
    </row>
    <row r="15" spans="1:14" s="146" customFormat="1" ht="12.75" customHeight="1" x14ac:dyDescent="0.25">
      <c r="A15" s="143">
        <v>2015</v>
      </c>
      <c r="B15" s="143"/>
      <c r="C15" s="251"/>
      <c r="D15" s="144">
        <v>15844.999999999991</v>
      </c>
      <c r="E15" s="145" t="s">
        <v>508</v>
      </c>
      <c r="F15" s="144">
        <v>3903.9999999999964</v>
      </c>
      <c r="G15" s="145" t="s">
        <v>508</v>
      </c>
      <c r="H15" s="144">
        <v>11941</v>
      </c>
      <c r="I15" s="145" t="s">
        <v>508</v>
      </c>
      <c r="N15" s="147"/>
    </row>
    <row r="16" spans="1:14" s="146" customFormat="1" ht="12.75" customHeight="1" x14ac:dyDescent="0.25">
      <c r="A16" s="143">
        <v>2016</v>
      </c>
      <c r="B16" s="213" t="s">
        <v>508</v>
      </c>
      <c r="C16" s="142"/>
      <c r="D16" s="144">
        <v>15006.000000000009</v>
      </c>
      <c r="E16" s="145" t="s">
        <v>280</v>
      </c>
      <c r="F16" s="144">
        <v>3531</v>
      </c>
      <c r="G16" s="145" t="s">
        <v>508</v>
      </c>
      <c r="H16" s="144">
        <v>11475</v>
      </c>
      <c r="I16" s="145" t="s">
        <v>508</v>
      </c>
    </row>
    <row r="17" spans="1:9" s="142" customFormat="1" ht="12.75" customHeight="1" x14ac:dyDescent="0.25">
      <c r="A17" s="148"/>
      <c r="B17" s="148"/>
      <c r="C17" s="252"/>
      <c r="D17" s="149"/>
      <c r="E17" s="154"/>
      <c r="F17" s="149"/>
      <c r="G17" s="154"/>
      <c r="H17" s="149"/>
      <c r="I17" s="154"/>
    </row>
    <row r="18" spans="1:9" s="142" customFormat="1" ht="12.75" customHeight="1" x14ac:dyDescent="0.25">
      <c r="A18" s="151">
        <v>2007</v>
      </c>
      <c r="B18" s="152" t="s">
        <v>1</v>
      </c>
      <c r="C18" s="251"/>
      <c r="D18" s="153">
        <v>16742</v>
      </c>
      <c r="E18" s="154" t="s">
        <v>508</v>
      </c>
      <c r="F18" s="153">
        <v>1844.3216783129899</v>
      </c>
      <c r="G18" s="154" t="s">
        <v>508</v>
      </c>
      <c r="H18" s="153">
        <v>14842.4461457287</v>
      </c>
      <c r="I18" s="154" t="s">
        <v>508</v>
      </c>
    </row>
    <row r="19" spans="1:9" s="142" customFormat="1" ht="12.75" customHeight="1" x14ac:dyDescent="0.25">
      <c r="A19" s="151"/>
      <c r="B19" s="152" t="s">
        <v>2</v>
      </c>
      <c r="C19" s="251"/>
      <c r="D19" s="153">
        <v>16493</v>
      </c>
      <c r="E19" s="154" t="s">
        <v>508</v>
      </c>
      <c r="F19" s="153">
        <v>1796.8209023557799</v>
      </c>
      <c r="G19" s="154" t="s">
        <v>508</v>
      </c>
      <c r="H19" s="153">
        <v>14741.8936438418</v>
      </c>
      <c r="I19" s="154" t="s">
        <v>508</v>
      </c>
    </row>
    <row r="20" spans="1:9" s="142" customFormat="1" ht="12.75" customHeight="1" x14ac:dyDescent="0.25">
      <c r="A20" s="153"/>
      <c r="B20" s="246" t="s">
        <v>3</v>
      </c>
      <c r="C20" s="253"/>
      <c r="D20" s="153">
        <v>15934</v>
      </c>
      <c r="E20" s="150" t="s">
        <v>508</v>
      </c>
      <c r="F20" s="153">
        <v>1710.6524652604201</v>
      </c>
      <c r="G20" s="150" t="s">
        <v>508</v>
      </c>
      <c r="H20" s="153">
        <v>14214.2420520903</v>
      </c>
      <c r="I20" s="154" t="s">
        <v>508</v>
      </c>
    </row>
    <row r="21" spans="1:9" s="142" customFormat="1" ht="12.75" customHeight="1" x14ac:dyDescent="0.25">
      <c r="A21" s="151"/>
      <c r="B21" s="152" t="s">
        <v>4</v>
      </c>
      <c r="C21" s="251"/>
      <c r="D21" s="153">
        <v>15311</v>
      </c>
      <c r="E21" s="154" t="s">
        <v>508</v>
      </c>
      <c r="F21" s="153">
        <v>1706.2049540708099</v>
      </c>
      <c r="G21" s="154" t="s">
        <v>508</v>
      </c>
      <c r="H21" s="153">
        <v>13623.4181583392</v>
      </c>
      <c r="I21" s="154" t="s">
        <v>508</v>
      </c>
    </row>
    <row r="22" spans="1:9" s="142" customFormat="1" ht="12.75" customHeight="1" x14ac:dyDescent="0.25">
      <c r="A22" s="151"/>
      <c r="B22" s="152"/>
      <c r="C22" s="251"/>
      <c r="D22" s="153"/>
      <c r="E22" s="154"/>
      <c r="F22" s="153"/>
      <c r="G22" s="154"/>
      <c r="H22" s="153"/>
      <c r="I22" s="154"/>
    </row>
    <row r="23" spans="1:9" s="142" customFormat="1" ht="12.75" customHeight="1" x14ac:dyDescent="0.25">
      <c r="A23" s="151">
        <v>2008</v>
      </c>
      <c r="B23" s="152" t="s">
        <v>1</v>
      </c>
      <c r="C23" s="251"/>
      <c r="D23" s="153">
        <v>15482</v>
      </c>
      <c r="E23" s="154" t="s">
        <v>508</v>
      </c>
      <c r="F23" s="153">
        <v>1743.11862817203</v>
      </c>
      <c r="G23" s="154" t="s">
        <v>508</v>
      </c>
      <c r="H23" s="153">
        <v>13568.6862762289</v>
      </c>
      <c r="I23" s="154" t="s">
        <v>508</v>
      </c>
    </row>
    <row r="24" spans="1:9" s="142" customFormat="1" ht="12.75" customHeight="1" x14ac:dyDescent="0.25">
      <c r="A24" s="151"/>
      <c r="B24" s="152" t="s">
        <v>2</v>
      </c>
      <c r="C24" s="251"/>
      <c r="D24" s="153">
        <v>15536</v>
      </c>
      <c r="E24" s="154" t="s">
        <v>508</v>
      </c>
      <c r="F24" s="153">
        <v>1862.32049630809</v>
      </c>
      <c r="G24" s="154" t="s">
        <v>508</v>
      </c>
      <c r="H24" s="153">
        <v>13907.390401757901</v>
      </c>
      <c r="I24" s="154" t="s">
        <v>508</v>
      </c>
    </row>
    <row r="25" spans="1:9" s="142" customFormat="1" ht="12.75" customHeight="1" x14ac:dyDescent="0.25">
      <c r="A25" s="153"/>
      <c r="B25" s="246" t="s">
        <v>3</v>
      </c>
      <c r="C25" s="253"/>
      <c r="D25" s="153">
        <v>17474</v>
      </c>
      <c r="E25" s="150" t="s">
        <v>508</v>
      </c>
      <c r="F25" s="153">
        <v>2187.6414631809798</v>
      </c>
      <c r="G25" s="150" t="s">
        <v>508</v>
      </c>
      <c r="H25" s="153">
        <v>15262.6552645844</v>
      </c>
      <c r="I25" s="154" t="s">
        <v>508</v>
      </c>
    </row>
    <row r="26" spans="1:9" s="142" customFormat="1" ht="12.75" customHeight="1" x14ac:dyDescent="0.25">
      <c r="A26" s="151"/>
      <c r="B26" s="152" t="s">
        <v>4</v>
      </c>
      <c r="C26" s="251"/>
      <c r="D26" s="153">
        <v>18936</v>
      </c>
      <c r="E26" s="154" t="s">
        <v>508</v>
      </c>
      <c r="F26" s="153">
        <v>2389.9194123389102</v>
      </c>
      <c r="G26" s="154" t="s">
        <v>508</v>
      </c>
      <c r="H26" s="153">
        <v>16506.268057428799</v>
      </c>
      <c r="I26" s="154" t="s">
        <v>508</v>
      </c>
    </row>
    <row r="27" spans="1:9" s="142" customFormat="1" ht="12.75" customHeight="1" x14ac:dyDescent="0.25">
      <c r="A27" s="151"/>
      <c r="B27" s="152"/>
      <c r="C27" s="251"/>
      <c r="D27" s="153"/>
      <c r="E27" s="154"/>
      <c r="F27" s="153"/>
      <c r="G27" s="154"/>
      <c r="H27" s="153"/>
      <c r="I27" s="154"/>
    </row>
    <row r="28" spans="1:9" s="142" customFormat="1" ht="12.75" customHeight="1" x14ac:dyDescent="0.25">
      <c r="A28" s="151">
        <v>2009</v>
      </c>
      <c r="B28" s="152" t="s">
        <v>1</v>
      </c>
      <c r="C28" s="251"/>
      <c r="D28" s="153">
        <v>18958</v>
      </c>
      <c r="E28" s="154" t="s">
        <v>508</v>
      </c>
      <c r="F28" s="153">
        <v>2539.9475453517098</v>
      </c>
      <c r="G28" s="154" t="s">
        <v>508</v>
      </c>
      <c r="H28" s="153">
        <v>16405.1106281262</v>
      </c>
      <c r="I28" s="154" t="s">
        <v>508</v>
      </c>
    </row>
    <row r="29" spans="1:9" s="142" customFormat="1" ht="12.75" customHeight="1" x14ac:dyDescent="0.25">
      <c r="A29" s="151"/>
      <c r="B29" s="152" t="s">
        <v>2</v>
      </c>
      <c r="C29" s="251"/>
      <c r="D29" s="153">
        <v>19121</v>
      </c>
      <c r="E29" s="154" t="s">
        <v>508</v>
      </c>
      <c r="F29" s="153">
        <v>2529.83053922614</v>
      </c>
      <c r="G29" s="154" t="s">
        <v>508</v>
      </c>
      <c r="H29" s="153">
        <v>16616.170667015998</v>
      </c>
      <c r="I29" s="154" t="s">
        <v>508</v>
      </c>
    </row>
    <row r="30" spans="1:9" s="142" customFormat="1" ht="12.75" customHeight="1" x14ac:dyDescent="0.25">
      <c r="A30" s="153"/>
      <c r="B30" s="246" t="s">
        <v>3</v>
      </c>
      <c r="C30" s="253"/>
      <c r="D30" s="153">
        <v>18659</v>
      </c>
      <c r="E30" s="150" t="s">
        <v>508</v>
      </c>
      <c r="F30" s="153">
        <v>2404.08100441745</v>
      </c>
      <c r="G30" s="150" t="s">
        <v>508</v>
      </c>
      <c r="H30" s="153">
        <v>16238.313693604499</v>
      </c>
      <c r="I30" s="154" t="s">
        <v>508</v>
      </c>
    </row>
    <row r="31" spans="1:9" s="142" customFormat="1" ht="12.75" customHeight="1" x14ac:dyDescent="0.25">
      <c r="A31" s="151"/>
      <c r="B31" s="152" t="s">
        <v>4</v>
      </c>
      <c r="C31" s="251"/>
      <c r="D31" s="153">
        <v>17933</v>
      </c>
      <c r="E31" s="154" t="s">
        <v>508</v>
      </c>
      <c r="F31" s="153">
        <v>2279.1409110046998</v>
      </c>
      <c r="G31" s="154" t="s">
        <v>508</v>
      </c>
      <c r="H31" s="153">
        <v>15657.4050112533</v>
      </c>
      <c r="I31" s="154" t="s">
        <v>508</v>
      </c>
    </row>
    <row r="32" spans="1:9" s="142" customFormat="1" ht="12.75" customHeight="1" x14ac:dyDescent="0.25">
      <c r="A32" s="151"/>
      <c r="B32" s="152"/>
      <c r="C32" s="251"/>
      <c r="D32" s="153"/>
      <c r="E32" s="154"/>
      <c r="F32" s="153"/>
      <c r="G32" s="154"/>
      <c r="H32" s="153"/>
      <c r="I32" s="154"/>
    </row>
    <row r="33" spans="1:9" s="142" customFormat="1" ht="12.75" customHeight="1" x14ac:dyDescent="0.25">
      <c r="A33" s="151">
        <v>2010</v>
      </c>
      <c r="B33" s="152" t="s">
        <v>1</v>
      </c>
      <c r="C33" s="251"/>
      <c r="D33" s="153">
        <v>17058</v>
      </c>
      <c r="E33" s="154" t="s">
        <v>508</v>
      </c>
      <c r="F33" s="153">
        <v>2101.0681662932998</v>
      </c>
      <c r="G33" s="154" t="s">
        <v>508</v>
      </c>
      <c r="H33" s="153">
        <v>14926.307510762699</v>
      </c>
      <c r="I33" s="154" t="s">
        <v>508</v>
      </c>
    </row>
    <row r="34" spans="1:9" s="142" customFormat="1" ht="12.75" customHeight="1" x14ac:dyDescent="0.25">
      <c r="A34" s="151"/>
      <c r="B34" s="152" t="s">
        <v>2</v>
      </c>
      <c r="C34" s="251"/>
      <c r="D34" s="153">
        <v>15256</v>
      </c>
      <c r="E34" s="154" t="s">
        <v>508</v>
      </c>
      <c r="F34" s="153">
        <v>1951.4594621925501</v>
      </c>
      <c r="G34" s="154" t="s">
        <v>508</v>
      </c>
      <c r="H34" s="153">
        <v>13323.2712371466</v>
      </c>
      <c r="I34" s="154" t="s">
        <v>508</v>
      </c>
    </row>
    <row r="35" spans="1:9" s="142" customFormat="1" ht="12.75" customHeight="1" x14ac:dyDescent="0.25">
      <c r="A35" s="153"/>
      <c r="B35" s="246" t="s">
        <v>3</v>
      </c>
      <c r="C35" s="253"/>
      <c r="D35" s="153">
        <v>14155</v>
      </c>
      <c r="E35" s="150" t="s">
        <v>508</v>
      </c>
      <c r="F35" s="153">
        <v>1749.38099272305</v>
      </c>
      <c r="G35" s="150" t="s">
        <v>508</v>
      </c>
      <c r="H35" s="153">
        <v>12417.2214437517</v>
      </c>
      <c r="I35" s="154" t="s">
        <v>508</v>
      </c>
    </row>
    <row r="36" spans="1:9" s="142" customFormat="1" ht="12.75" customHeight="1" x14ac:dyDescent="0.25">
      <c r="A36" s="151"/>
      <c r="B36" s="152" t="s">
        <v>4</v>
      </c>
      <c r="C36" s="251"/>
      <c r="D36" s="153">
        <v>12704</v>
      </c>
      <c r="E36" s="154" t="s">
        <v>508</v>
      </c>
      <c r="F36" s="153">
        <v>2342.0913787910899</v>
      </c>
      <c r="G36" s="154" t="s">
        <v>508</v>
      </c>
      <c r="H36" s="153">
        <v>10362.199808339001</v>
      </c>
      <c r="I36" s="154" t="s">
        <v>508</v>
      </c>
    </row>
    <row r="37" spans="1:9" s="142" customFormat="1" ht="12.75" customHeight="1" x14ac:dyDescent="0.25">
      <c r="A37" s="151"/>
      <c r="B37" s="152"/>
      <c r="C37" s="251"/>
      <c r="D37" s="153"/>
      <c r="E37" s="154"/>
      <c r="F37" s="153"/>
      <c r="G37" s="154"/>
      <c r="H37" s="153"/>
      <c r="I37" s="154"/>
    </row>
    <row r="38" spans="1:9" s="142" customFormat="1" ht="12.75" customHeight="1" x14ac:dyDescent="0.25">
      <c r="A38" s="151">
        <v>2011</v>
      </c>
      <c r="B38" s="152" t="s">
        <v>1</v>
      </c>
      <c r="C38" s="251"/>
      <c r="D38" s="153">
        <v>11760.3355733227</v>
      </c>
      <c r="E38" s="154" t="s">
        <v>508</v>
      </c>
      <c r="F38" s="153">
        <v>2366.3060541333898</v>
      </c>
      <c r="G38" s="154" t="s">
        <v>508</v>
      </c>
      <c r="H38" s="153">
        <v>9389.1252858273201</v>
      </c>
      <c r="I38" s="154" t="s">
        <v>508</v>
      </c>
    </row>
    <row r="39" spans="1:9" s="142" customFormat="1" ht="12.75" customHeight="1" x14ac:dyDescent="0.25">
      <c r="A39" s="151"/>
      <c r="B39" s="152" t="s">
        <v>2</v>
      </c>
      <c r="C39" s="251"/>
      <c r="D39" s="153">
        <v>11304.9546410033</v>
      </c>
      <c r="E39" s="154" t="s">
        <v>508</v>
      </c>
      <c r="F39" s="153">
        <v>2348.2520090819698</v>
      </c>
      <c r="G39" s="154" t="s">
        <v>508</v>
      </c>
      <c r="H39" s="153">
        <v>8904.6709400159598</v>
      </c>
      <c r="I39" s="154" t="s">
        <v>508</v>
      </c>
    </row>
    <row r="40" spans="1:9" s="142" customFormat="1" ht="12.75" customHeight="1" x14ac:dyDescent="0.25">
      <c r="A40" s="153"/>
      <c r="B40" s="246" t="s">
        <v>3</v>
      </c>
      <c r="C40" s="253"/>
      <c r="D40" s="153">
        <v>9689.7918014033694</v>
      </c>
      <c r="E40" s="150" t="s">
        <v>508</v>
      </c>
      <c r="F40" s="153">
        <v>2143.9005941754599</v>
      </c>
      <c r="G40" s="150" t="s">
        <v>508</v>
      </c>
      <c r="H40" s="153">
        <v>7625.7937052934303</v>
      </c>
      <c r="I40" s="154" t="s">
        <v>508</v>
      </c>
    </row>
    <row r="41" spans="1:9" s="142" customFormat="1" ht="12.75" customHeight="1" x14ac:dyDescent="0.25">
      <c r="A41" s="151"/>
      <c r="B41" s="152" t="s">
        <v>4</v>
      </c>
      <c r="C41" s="251"/>
      <c r="D41" s="153">
        <v>9120.9179842705707</v>
      </c>
      <c r="E41" s="154" t="s">
        <v>508</v>
      </c>
      <c r="F41" s="153">
        <v>2034.54134260919</v>
      </c>
      <c r="G41" s="154" t="s">
        <v>508</v>
      </c>
      <c r="H41" s="153">
        <v>7063.4100688632898</v>
      </c>
      <c r="I41" s="154" t="s">
        <v>508</v>
      </c>
    </row>
    <row r="42" spans="1:9" s="142" customFormat="1" ht="12.75" customHeight="1" x14ac:dyDescent="0.25">
      <c r="A42" s="151"/>
      <c r="B42" s="152"/>
      <c r="C42" s="251"/>
      <c r="D42" s="153"/>
      <c r="E42" s="154"/>
      <c r="F42" s="153"/>
      <c r="G42" s="154"/>
      <c r="H42" s="153"/>
      <c r="I42" s="154"/>
    </row>
    <row r="43" spans="1:9" s="142" customFormat="1" ht="12.75" customHeight="1" x14ac:dyDescent="0.25">
      <c r="A43" s="151">
        <v>2012</v>
      </c>
      <c r="B43" s="152" t="s">
        <v>1</v>
      </c>
      <c r="C43" s="251"/>
      <c r="D43" s="153">
        <v>8649.6575586789295</v>
      </c>
      <c r="E43" s="154" t="s">
        <v>508</v>
      </c>
      <c r="F43" s="153">
        <v>1994.0861658343099</v>
      </c>
      <c r="G43" s="154" t="s">
        <v>508</v>
      </c>
      <c r="H43" s="153">
        <v>6632.4009412865398</v>
      </c>
      <c r="I43" s="154" t="s">
        <v>508</v>
      </c>
    </row>
    <row r="44" spans="1:9" s="142" customFormat="1" ht="12.75" customHeight="1" x14ac:dyDescent="0.25">
      <c r="A44" s="151"/>
      <c r="B44" s="152" t="s">
        <v>2</v>
      </c>
      <c r="C44" s="251"/>
      <c r="D44" s="153">
        <v>8158.4626641561499</v>
      </c>
      <c r="E44" s="154" t="s">
        <v>508</v>
      </c>
      <c r="F44" s="153">
        <v>1886.5042020027299</v>
      </c>
      <c r="G44" s="154" t="s">
        <v>508</v>
      </c>
      <c r="H44" s="153">
        <v>6216.0636039828896</v>
      </c>
      <c r="I44" s="154" t="s">
        <v>508</v>
      </c>
    </row>
    <row r="45" spans="1:9" s="142" customFormat="1" ht="12.75" customHeight="1" x14ac:dyDescent="0.25">
      <c r="A45" s="153"/>
      <c r="B45" s="246" t="s">
        <v>3</v>
      </c>
      <c r="C45" s="253"/>
      <c r="D45" s="153">
        <v>7680.8327716182102</v>
      </c>
      <c r="E45" s="150" t="s">
        <v>508</v>
      </c>
      <c r="F45" s="153">
        <v>1861.2559017883</v>
      </c>
      <c r="G45" s="150" t="s">
        <v>508</v>
      </c>
      <c r="H45" s="153">
        <v>5895.4027935742497</v>
      </c>
      <c r="I45" s="154" t="s">
        <v>508</v>
      </c>
    </row>
    <row r="46" spans="1:9" s="142" customFormat="1" ht="12.75" customHeight="1" x14ac:dyDescent="0.25">
      <c r="A46" s="151"/>
      <c r="B46" s="152" t="s">
        <v>4</v>
      </c>
      <c r="C46" s="251"/>
      <c r="D46" s="153">
        <v>7298.0470055467204</v>
      </c>
      <c r="E46" s="154" t="s">
        <v>508</v>
      </c>
      <c r="F46" s="153">
        <v>1781.15373037466</v>
      </c>
      <c r="G46" s="154" t="s">
        <v>508</v>
      </c>
      <c r="H46" s="153">
        <v>5520.13266115633</v>
      </c>
      <c r="I46" s="154" t="s">
        <v>508</v>
      </c>
    </row>
    <row r="47" spans="1:9" s="142" customFormat="1" ht="12.75" customHeight="1" x14ac:dyDescent="0.25">
      <c r="A47" s="151"/>
      <c r="B47" s="152"/>
      <c r="C47" s="251"/>
      <c r="D47" s="153"/>
      <c r="E47" s="154"/>
      <c r="F47" s="153"/>
      <c r="G47" s="154"/>
      <c r="H47" s="153"/>
      <c r="I47" s="154"/>
    </row>
    <row r="48" spans="1:9" s="142" customFormat="1" ht="12.75" customHeight="1" x14ac:dyDescent="0.25">
      <c r="A48" s="151">
        <v>2013</v>
      </c>
      <c r="B48" s="152" t="s">
        <v>1</v>
      </c>
      <c r="C48" s="251"/>
      <c r="D48" s="153">
        <v>6615.4911052341704</v>
      </c>
      <c r="E48" s="154" t="s">
        <v>508</v>
      </c>
      <c r="F48" s="153">
        <v>1518.3790945211999</v>
      </c>
      <c r="G48" s="154" t="s">
        <v>508</v>
      </c>
      <c r="H48" s="153">
        <v>5026.3385308922698</v>
      </c>
      <c r="I48" s="154" t="s">
        <v>508</v>
      </c>
    </row>
    <row r="49" spans="1:9" s="142" customFormat="1" ht="12.75" customHeight="1" x14ac:dyDescent="0.25">
      <c r="A49" s="151"/>
      <c r="B49" s="152" t="s">
        <v>2</v>
      </c>
      <c r="C49" s="251"/>
      <c r="D49" s="153">
        <v>6224.7030856189003</v>
      </c>
      <c r="E49" s="154" t="s">
        <v>508</v>
      </c>
      <c r="F49" s="153">
        <v>1610.6430114702</v>
      </c>
      <c r="G49" s="154" t="s">
        <v>508</v>
      </c>
      <c r="H49" s="153">
        <v>4669.1922333990997</v>
      </c>
      <c r="I49" s="154" t="s">
        <v>508</v>
      </c>
    </row>
    <row r="50" spans="1:9" s="142" customFormat="1" ht="12.75" customHeight="1" x14ac:dyDescent="0.25">
      <c r="A50" s="153"/>
      <c r="B50" s="246" t="s">
        <v>3</v>
      </c>
      <c r="C50" s="253"/>
      <c r="D50" s="153">
        <v>6017.9559364115403</v>
      </c>
      <c r="E50" s="150" t="s">
        <v>508</v>
      </c>
      <c r="F50" s="153">
        <v>1545.1661325227001</v>
      </c>
      <c r="G50" s="150" t="s">
        <v>508</v>
      </c>
      <c r="H50" s="153">
        <v>4523.5287421817302</v>
      </c>
      <c r="I50" s="154" t="s">
        <v>508</v>
      </c>
    </row>
    <row r="51" spans="1:9" s="142" customFormat="1" ht="12.75" customHeight="1" x14ac:dyDescent="0.25">
      <c r="A51" s="151"/>
      <c r="B51" s="152" t="s">
        <v>4</v>
      </c>
      <c r="C51" s="251"/>
      <c r="D51" s="153">
        <v>5712.8498727353799</v>
      </c>
      <c r="E51" s="154" t="s">
        <v>508</v>
      </c>
      <c r="F51" s="153">
        <v>1324.81176148591</v>
      </c>
      <c r="G51" s="154" t="s">
        <v>508</v>
      </c>
      <c r="H51" s="153">
        <v>4352.9404935269004</v>
      </c>
      <c r="I51" s="154" t="s">
        <v>508</v>
      </c>
    </row>
    <row r="52" spans="1:9" s="142" customFormat="1" ht="12.75" customHeight="1" x14ac:dyDescent="0.25">
      <c r="A52" s="151"/>
      <c r="B52" s="152"/>
      <c r="C52" s="251"/>
      <c r="D52" s="153"/>
      <c r="E52" s="154"/>
      <c r="F52" s="153"/>
      <c r="G52" s="154"/>
      <c r="H52" s="153"/>
      <c r="I52" s="154"/>
    </row>
    <row r="53" spans="1:9" s="142" customFormat="1" ht="12.75" customHeight="1" x14ac:dyDescent="0.25">
      <c r="A53" s="151">
        <v>2014</v>
      </c>
      <c r="B53" s="152" t="s">
        <v>1</v>
      </c>
      <c r="C53" s="251"/>
      <c r="D53" s="153">
        <v>5405.2780227656503</v>
      </c>
      <c r="E53" s="154" t="s">
        <v>508</v>
      </c>
      <c r="F53" s="153">
        <v>1366.4792309074401</v>
      </c>
      <c r="G53" s="154" t="s">
        <v>508</v>
      </c>
      <c r="H53" s="153">
        <v>4041.36195926546</v>
      </c>
      <c r="I53" s="154" t="s">
        <v>508</v>
      </c>
    </row>
    <row r="54" spans="1:9" s="142" customFormat="1" ht="12.75" customHeight="1" x14ac:dyDescent="0.25">
      <c r="A54" s="151"/>
      <c r="B54" s="152" t="s">
        <v>2</v>
      </c>
      <c r="C54" s="251"/>
      <c r="D54" s="153">
        <v>5493.6928785475402</v>
      </c>
      <c r="E54" s="154" t="s">
        <v>508</v>
      </c>
      <c r="F54" s="153">
        <v>1366.0670410099101</v>
      </c>
      <c r="G54" s="154" t="s">
        <v>508</v>
      </c>
      <c r="H54" s="153">
        <v>4128.3518062563398</v>
      </c>
      <c r="I54" s="154" t="s">
        <v>508</v>
      </c>
    </row>
    <row r="55" spans="1:9" s="142" customFormat="1" ht="12.75" customHeight="1" x14ac:dyDescent="0.25">
      <c r="A55" s="153"/>
      <c r="B55" s="246" t="s">
        <v>3</v>
      </c>
      <c r="C55" s="253"/>
      <c r="D55" s="153">
        <v>4910.5003458286001</v>
      </c>
      <c r="E55" s="150" t="s">
        <v>508</v>
      </c>
      <c r="F55" s="153">
        <v>1196.5760857764401</v>
      </c>
      <c r="G55" s="150" t="s">
        <v>508</v>
      </c>
      <c r="H55" s="153">
        <v>3748.4900804501999</v>
      </c>
      <c r="I55" s="154" t="s">
        <v>508</v>
      </c>
    </row>
    <row r="56" spans="1:9" s="142" customFormat="1" ht="12.75" customHeight="1" x14ac:dyDescent="0.25">
      <c r="A56" s="151"/>
      <c r="B56" s="152" t="s">
        <v>4</v>
      </c>
      <c r="C56" s="251"/>
      <c r="D56" s="153">
        <v>4535.5287528582103</v>
      </c>
      <c r="E56" s="154" t="s">
        <v>508</v>
      </c>
      <c r="F56" s="153">
        <v>1026.87764230621</v>
      </c>
      <c r="G56" s="154" t="s">
        <v>508</v>
      </c>
      <c r="H56" s="153">
        <v>3470.7961540279898</v>
      </c>
      <c r="I56" s="154" t="s">
        <v>508</v>
      </c>
    </row>
    <row r="57" spans="1:9" s="142" customFormat="1" ht="12.75" customHeight="1" x14ac:dyDescent="0.25">
      <c r="A57" s="151"/>
      <c r="B57" s="152"/>
      <c r="C57" s="251"/>
      <c r="D57" s="153"/>
      <c r="E57" s="154"/>
      <c r="F57" s="153"/>
      <c r="G57" s="154"/>
      <c r="H57" s="153"/>
      <c r="I57" s="154"/>
    </row>
    <row r="58" spans="1:9" s="142" customFormat="1" ht="12.75" customHeight="1" x14ac:dyDescent="0.25">
      <c r="A58" s="151">
        <v>2015</v>
      </c>
      <c r="B58" s="152" t="s">
        <v>1</v>
      </c>
      <c r="C58" s="251"/>
      <c r="D58" s="153">
        <v>4178.61989964647</v>
      </c>
      <c r="E58" s="154" t="s">
        <v>508</v>
      </c>
      <c r="F58" s="153">
        <v>1051.27716291095</v>
      </c>
      <c r="G58" s="154" t="s">
        <v>508</v>
      </c>
      <c r="H58" s="153">
        <v>3171.73622528547</v>
      </c>
      <c r="I58" s="154" t="s">
        <v>508</v>
      </c>
    </row>
    <row r="59" spans="1:9" s="142" customFormat="1" ht="12.75" customHeight="1" x14ac:dyDescent="0.25">
      <c r="A59" s="151"/>
      <c r="B59" s="152" t="s">
        <v>2</v>
      </c>
      <c r="C59" s="251"/>
      <c r="D59" s="153">
        <v>3982.0681918810401</v>
      </c>
      <c r="E59" s="154" t="s">
        <v>508</v>
      </c>
      <c r="F59" s="153">
        <v>919.99785513833399</v>
      </c>
      <c r="G59" s="154" t="s">
        <v>508</v>
      </c>
      <c r="H59" s="153">
        <v>3037.0996737611399</v>
      </c>
      <c r="I59" s="154" t="s">
        <v>508</v>
      </c>
    </row>
    <row r="60" spans="1:9" s="142" customFormat="1" ht="12.75" customHeight="1" x14ac:dyDescent="0.25">
      <c r="A60" s="153"/>
      <c r="B60" s="246" t="s">
        <v>3</v>
      </c>
      <c r="C60" s="253"/>
      <c r="D60" s="153">
        <v>3902.7725014163898</v>
      </c>
      <c r="E60" s="150" t="s">
        <v>508</v>
      </c>
      <c r="F60" s="153">
        <v>948.76222411348203</v>
      </c>
      <c r="G60" s="150" t="s">
        <v>508</v>
      </c>
      <c r="H60" s="153">
        <v>2951.2684982467999</v>
      </c>
      <c r="I60" s="154" t="s">
        <v>508</v>
      </c>
    </row>
    <row r="61" spans="1:9" s="142" customFormat="1" ht="12.75" customHeight="1" x14ac:dyDescent="0.25">
      <c r="A61" s="151"/>
      <c r="B61" s="152" t="s">
        <v>4</v>
      </c>
      <c r="C61" s="251"/>
      <c r="D61" s="153">
        <v>3781.5394070560901</v>
      </c>
      <c r="E61" s="154" t="s">
        <v>508</v>
      </c>
      <c r="F61" s="153">
        <v>983.96275783723001</v>
      </c>
      <c r="G61" s="154" t="s">
        <v>508</v>
      </c>
      <c r="H61" s="153">
        <v>2780.8956027065901</v>
      </c>
      <c r="I61" s="154" t="s">
        <v>508</v>
      </c>
    </row>
    <row r="62" spans="1:9" s="142" customFormat="1" ht="12.75" customHeight="1" x14ac:dyDescent="0.25">
      <c r="A62" s="151"/>
      <c r="B62" s="152"/>
      <c r="C62" s="251"/>
      <c r="D62" s="153"/>
      <c r="E62" s="154"/>
      <c r="F62" s="153"/>
      <c r="G62" s="154"/>
      <c r="H62" s="153"/>
      <c r="I62" s="154"/>
    </row>
    <row r="63" spans="1:9" s="142" customFormat="1" ht="12.75" customHeight="1" x14ac:dyDescent="0.25">
      <c r="A63" s="151">
        <v>2016</v>
      </c>
      <c r="B63" s="152" t="s">
        <v>1</v>
      </c>
      <c r="C63" s="251" t="s">
        <v>197</v>
      </c>
      <c r="D63" s="153">
        <v>3733.5103732500202</v>
      </c>
      <c r="E63" s="154" t="s">
        <v>280</v>
      </c>
      <c r="F63" s="153">
        <v>854.71563166205306</v>
      </c>
      <c r="G63" s="154" t="s">
        <v>280</v>
      </c>
      <c r="H63" s="153">
        <v>2874.0403188008499</v>
      </c>
      <c r="I63" s="154" t="s">
        <v>280</v>
      </c>
    </row>
    <row r="64" spans="1:9" s="142" customFormat="1" ht="12.75" customHeight="1" x14ac:dyDescent="0.25">
      <c r="A64" s="151"/>
      <c r="B64" s="152" t="s">
        <v>2</v>
      </c>
      <c r="C64" s="251" t="s">
        <v>197</v>
      </c>
      <c r="D64" s="153">
        <v>3576.71635881675</v>
      </c>
      <c r="E64" s="154" t="s">
        <v>280</v>
      </c>
      <c r="F64" s="153">
        <v>848.52996974586995</v>
      </c>
      <c r="G64" s="154" t="s">
        <v>280</v>
      </c>
      <c r="H64" s="153">
        <v>2753.10861754807</v>
      </c>
      <c r="I64" s="154" t="s">
        <v>280</v>
      </c>
    </row>
    <row r="65" spans="1:27" s="142" customFormat="1" ht="12.75" customHeight="1" x14ac:dyDescent="0.25">
      <c r="A65" s="153"/>
      <c r="B65" s="246" t="s">
        <v>3</v>
      </c>
      <c r="C65" s="253" t="s">
        <v>197</v>
      </c>
      <c r="D65" s="153">
        <v>3872.7151887776899</v>
      </c>
      <c r="E65" s="150" t="s">
        <v>280</v>
      </c>
      <c r="F65" s="153">
        <v>910.49983589574902</v>
      </c>
      <c r="G65" s="150" t="s">
        <v>280</v>
      </c>
      <c r="H65" s="153">
        <v>2950.8880165058999</v>
      </c>
      <c r="I65" s="154" t="s">
        <v>280</v>
      </c>
    </row>
    <row r="66" spans="1:27" s="142" customFormat="1" ht="12.75" customHeight="1" x14ac:dyDescent="0.25">
      <c r="A66" s="151"/>
      <c r="B66" s="152" t="s">
        <v>4</v>
      </c>
      <c r="C66" s="251" t="s">
        <v>197</v>
      </c>
      <c r="D66" s="153">
        <v>3823.0580791555499</v>
      </c>
      <c r="E66" s="154" t="s">
        <v>280</v>
      </c>
      <c r="F66" s="153">
        <v>917.25456269632798</v>
      </c>
      <c r="G66" s="154" t="s">
        <v>508</v>
      </c>
      <c r="H66" s="153">
        <v>2896.9630471451801</v>
      </c>
      <c r="I66" s="154" t="s">
        <v>508</v>
      </c>
    </row>
    <row r="67" spans="1:27" s="142" customFormat="1" ht="12.75" customHeight="1" x14ac:dyDescent="0.25">
      <c r="A67" s="151"/>
      <c r="B67" s="152"/>
      <c r="C67" s="251"/>
      <c r="D67" s="153"/>
      <c r="E67" s="154"/>
      <c r="F67" s="153"/>
      <c r="G67" s="154"/>
      <c r="H67" s="153"/>
      <c r="I67" s="154"/>
    </row>
    <row r="68" spans="1:27" s="142" customFormat="1" ht="12.75" customHeight="1" x14ac:dyDescent="0.25">
      <c r="A68" s="151">
        <v>2017</v>
      </c>
      <c r="B68" s="152" t="s">
        <v>1</v>
      </c>
      <c r="C68" s="251" t="s">
        <v>508</v>
      </c>
      <c r="D68" s="153">
        <v>3872.71540974352</v>
      </c>
      <c r="E68" s="154" t="s">
        <v>508</v>
      </c>
      <c r="F68" s="153" t="s">
        <v>67</v>
      </c>
      <c r="G68" s="154" t="s">
        <v>508</v>
      </c>
      <c r="H68" s="153" t="s">
        <v>67</v>
      </c>
      <c r="I68" s="154" t="s">
        <v>508</v>
      </c>
      <c r="AA68" s="142" t="s">
        <v>508</v>
      </c>
    </row>
    <row r="69" spans="1:27" s="142" customFormat="1" ht="12.75" customHeight="1" thickBot="1" x14ac:dyDescent="0.3">
      <c r="A69" s="152"/>
      <c r="B69" s="156"/>
      <c r="C69" s="254"/>
      <c r="D69" s="153"/>
      <c r="E69" s="154"/>
      <c r="F69" s="153"/>
      <c r="G69" s="154"/>
      <c r="H69" s="153"/>
      <c r="I69" s="154"/>
    </row>
    <row r="70" spans="1:27" s="142" customFormat="1" ht="12.75" customHeight="1" x14ac:dyDescent="0.2">
      <c r="A70" s="159" t="s">
        <v>512</v>
      </c>
      <c r="B70" s="159"/>
      <c r="C70" s="159"/>
      <c r="D70" s="159"/>
      <c r="E70" s="221"/>
      <c r="F70" s="159"/>
      <c r="G70" s="221"/>
      <c r="H70" s="159"/>
      <c r="I70" s="221"/>
    </row>
    <row r="71" spans="1:27" s="142" customFormat="1" ht="12.75" customHeight="1" x14ac:dyDescent="0.2">
      <c r="A71" s="160"/>
      <c r="B71" s="160"/>
      <c r="C71" s="160"/>
      <c r="D71" s="160"/>
      <c r="E71" s="161"/>
      <c r="F71" s="160"/>
      <c r="G71" s="161"/>
      <c r="H71" s="160"/>
      <c r="I71" s="161"/>
    </row>
    <row r="72" spans="1:27" s="142" customFormat="1" ht="12.75" customHeight="1" x14ac:dyDescent="0.2">
      <c r="A72" s="162">
        <v>2016</v>
      </c>
      <c r="B72" s="163" t="s">
        <v>3</v>
      </c>
      <c r="C72" s="255"/>
      <c r="D72" s="164">
        <v>1.2988903009011787</v>
      </c>
      <c r="E72" s="161"/>
      <c r="F72" s="164">
        <v>0.74187018319817888</v>
      </c>
      <c r="G72" s="161"/>
      <c r="H72" s="164">
        <v>-1.8274149699713638</v>
      </c>
      <c r="I72" s="161"/>
    </row>
    <row r="73" spans="1:27" s="142" customFormat="1" ht="12.75" customHeight="1" x14ac:dyDescent="0.2">
      <c r="A73" s="167"/>
      <c r="B73" s="167"/>
      <c r="C73" s="256"/>
      <c r="D73" s="167"/>
      <c r="E73" s="281"/>
      <c r="F73" s="167"/>
      <c r="G73" s="281"/>
      <c r="H73" s="167"/>
      <c r="I73" s="281"/>
    </row>
    <row r="74" spans="1:27" s="142" customFormat="1" ht="12.75" customHeight="1" thickBot="1" x14ac:dyDescent="0.25">
      <c r="A74" s="157">
        <v>2015</v>
      </c>
      <c r="B74" s="158" t="s">
        <v>4</v>
      </c>
      <c r="C74" s="257"/>
      <c r="D74" s="168">
        <v>3.7285295225340853</v>
      </c>
      <c r="E74" s="282"/>
      <c r="F74" s="168">
        <v>-6.7795447144288312</v>
      </c>
      <c r="G74" s="282"/>
      <c r="H74" s="168">
        <v>4.1737433194408258</v>
      </c>
      <c r="I74" s="282"/>
    </row>
    <row r="75" spans="1:27" s="169" customFormat="1" ht="12.75" customHeight="1" x14ac:dyDescent="0.2">
      <c r="A75" s="342"/>
      <c r="B75" s="342"/>
      <c r="C75" s="342"/>
      <c r="D75" s="342"/>
      <c r="E75" s="342"/>
      <c r="F75" s="342"/>
      <c r="G75" s="342"/>
      <c r="H75" s="342"/>
      <c r="I75" s="342"/>
      <c r="J75" s="142"/>
    </row>
    <row r="76" spans="1:27" s="169" customFormat="1" ht="33" customHeight="1" x14ac:dyDescent="0.2">
      <c r="A76" s="340" t="s">
        <v>249</v>
      </c>
      <c r="B76" s="340"/>
      <c r="C76" s="340"/>
      <c r="D76" s="340"/>
      <c r="E76" s="340"/>
      <c r="F76" s="340"/>
      <c r="G76" s="340"/>
      <c r="H76" s="340"/>
      <c r="I76" s="340"/>
    </row>
    <row r="77" spans="1:27" s="169" customFormat="1" ht="64.5" customHeight="1" x14ac:dyDescent="0.2">
      <c r="A77" s="340" t="s">
        <v>254</v>
      </c>
      <c r="B77" s="340"/>
      <c r="C77" s="340"/>
      <c r="D77" s="340"/>
      <c r="E77" s="340"/>
      <c r="F77" s="340"/>
      <c r="G77" s="340"/>
      <c r="H77" s="340"/>
      <c r="I77" s="340"/>
    </row>
    <row r="78" spans="1:27" s="170" customFormat="1" ht="91.5" customHeight="1" x14ac:dyDescent="0.3">
      <c r="A78" s="340" t="s">
        <v>252</v>
      </c>
      <c r="B78" s="340"/>
      <c r="C78" s="340"/>
      <c r="D78" s="340"/>
      <c r="E78" s="340"/>
      <c r="F78" s="340"/>
      <c r="G78" s="340"/>
      <c r="H78" s="340"/>
      <c r="I78" s="340"/>
    </row>
    <row r="79" spans="1:27" s="171" customFormat="1" ht="15" x14ac:dyDescent="0.3">
      <c r="A79" s="345"/>
      <c r="B79" s="345"/>
      <c r="C79" s="345"/>
      <c r="D79" s="345"/>
      <c r="E79" s="345"/>
      <c r="F79" s="345"/>
      <c r="G79" s="345"/>
      <c r="H79" s="345"/>
      <c r="I79" s="345"/>
    </row>
    <row r="80" spans="1:27" s="171" customFormat="1" ht="27.75" customHeight="1" x14ac:dyDescent="0.3">
      <c r="A80" s="345"/>
      <c r="B80" s="345"/>
      <c r="C80" s="345"/>
      <c r="D80" s="345"/>
      <c r="E80" s="345"/>
      <c r="F80" s="345"/>
      <c r="G80" s="345"/>
      <c r="H80" s="345"/>
      <c r="I80" s="345"/>
    </row>
    <row r="81" spans="1:9" ht="12.75" customHeight="1" x14ac:dyDescent="0.3">
      <c r="A81" s="345"/>
      <c r="B81" s="345"/>
      <c r="C81" s="345"/>
      <c r="D81" s="345"/>
      <c r="E81" s="345"/>
      <c r="F81" s="345"/>
      <c r="G81" s="345"/>
      <c r="H81" s="345"/>
      <c r="I81" s="345"/>
    </row>
    <row r="82" spans="1:9" ht="12.75" customHeight="1" x14ac:dyDescent="0.3">
      <c r="A82" s="345"/>
      <c r="B82" s="345"/>
      <c r="C82" s="345"/>
      <c r="D82" s="345"/>
      <c r="E82" s="345"/>
      <c r="F82" s="345"/>
      <c r="G82" s="345"/>
      <c r="H82" s="345"/>
      <c r="I82" s="345"/>
    </row>
    <row r="83" spans="1:9" ht="12.75" customHeight="1" x14ac:dyDescent="0.3">
      <c r="A83" s="345"/>
      <c r="B83" s="345"/>
      <c r="C83" s="345"/>
      <c r="D83" s="345"/>
      <c r="E83" s="345"/>
      <c r="F83" s="345"/>
      <c r="G83" s="345"/>
      <c r="H83" s="345"/>
      <c r="I83" s="345"/>
    </row>
    <row r="84" spans="1:9" ht="12.75" customHeight="1" x14ac:dyDescent="0.3">
      <c r="A84" s="345"/>
      <c r="B84" s="345"/>
      <c r="C84" s="345"/>
      <c r="D84" s="345"/>
      <c r="E84" s="345"/>
      <c r="F84" s="345"/>
      <c r="G84" s="345"/>
      <c r="H84" s="345"/>
      <c r="I84" s="345"/>
    </row>
    <row r="85" spans="1:9" ht="12.75" customHeight="1" x14ac:dyDescent="0.3">
      <c r="A85" s="345"/>
      <c r="B85" s="345"/>
      <c r="C85" s="345"/>
      <c r="D85" s="345"/>
      <c r="E85" s="345"/>
      <c r="F85" s="345"/>
      <c r="G85" s="345"/>
      <c r="H85" s="345"/>
      <c r="I85" s="345"/>
    </row>
    <row r="86" spans="1:9" ht="12.75" customHeight="1" x14ac:dyDescent="0.3">
      <c r="A86" s="345"/>
      <c r="B86" s="345"/>
      <c r="C86" s="345"/>
      <c r="D86" s="345"/>
      <c r="E86" s="345"/>
      <c r="F86" s="345"/>
      <c r="G86" s="345"/>
      <c r="H86" s="345"/>
      <c r="I86" s="345"/>
    </row>
  </sheetData>
  <dataConsolidate/>
  <mergeCells count="17">
    <mergeCell ref="A81:I81"/>
    <mergeCell ref="F4:G4"/>
    <mergeCell ref="D5:E6"/>
    <mergeCell ref="F5:I5"/>
    <mergeCell ref="F6:G6"/>
    <mergeCell ref="H6:I6"/>
    <mergeCell ref="A75:I75"/>
    <mergeCell ref="A76:I76"/>
    <mergeCell ref="A78:I78"/>
    <mergeCell ref="A79:I79"/>
    <mergeCell ref="A80:I80"/>
    <mergeCell ref="A77:I77"/>
    <mergeCell ref="A82:I82"/>
    <mergeCell ref="A83:I83"/>
    <mergeCell ref="A84:I84"/>
    <mergeCell ref="A85:I85"/>
    <mergeCell ref="A86:I86"/>
  </mergeCells>
  <conditionalFormatting sqref="A25:H25">
    <cfRule type="expression" dxfId="6" priority="3">
      <formula>AND($A23=2006,$B25="Q3")</formula>
    </cfRule>
  </conditionalFormatting>
  <conditionalFormatting sqref="A20:H20">
    <cfRule type="expression" dxfId="5" priority="2">
      <formula>AND($A18=2006,$B20="Q3")</formula>
    </cfRule>
  </conditionalFormatting>
  <conditionalFormatting sqref="A30:H30 A35:H35 A40:H40 A45:H45 A50:H50 A55:H55 A60:H60 A65:H65">
    <cfRule type="expression" dxfId="4" priority="1">
      <formula>AND($A28=2006,$B30="Q3")</formula>
    </cfRule>
  </conditionalFormatting>
  <hyperlinks>
    <hyperlink ref="A3" location="'Table Contents'!A1" display="Back to contents"/>
  </hyperlinks>
  <printOptions horizontalCentered="1" verticalCentered="1" gridLinesSet="0"/>
  <pageMargins left="0.19685039370078741" right="0.19685039370078741" top="0.19685039370078741" bottom="0.19685039370078741" header="0.39370078740157483" footer="0.39370078740157483"/>
  <pageSetup paperSize="9" scale="43"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AA86"/>
  <sheetViews>
    <sheetView showGridLines="0" zoomScaleNormal="100" workbookViewId="0">
      <pane xSplit="3" ySplit="7" topLeftCell="D8" activePane="bottomRight" state="frozen"/>
      <selection activeCell="D75" sqref="D75"/>
      <selection pane="topRight" activeCell="D75" sqref="D75"/>
      <selection pane="bottomLeft" activeCell="D75" sqref="D75"/>
      <selection pane="bottomRight" activeCell="D8" sqref="D8"/>
    </sheetView>
  </sheetViews>
  <sheetFormatPr defaultColWidth="8.85546875" defaultRowHeight="12.75" customHeight="1" x14ac:dyDescent="0.3"/>
  <cols>
    <col min="1" max="1" width="7.42578125" style="131" customWidth="1"/>
    <col min="2" max="2" width="4.85546875" style="131" customWidth="1"/>
    <col min="3" max="3" width="4.85546875" style="174" customWidth="1"/>
    <col min="4" max="4" width="11.85546875" style="172" customWidth="1"/>
    <col min="5" max="5" width="3.85546875" style="174" customWidth="1"/>
    <col min="6" max="6" width="10" style="172" customWidth="1"/>
    <col min="7" max="7" width="3.85546875" style="174" customWidth="1"/>
    <col min="8" max="8" width="5.42578125" style="172" customWidth="1"/>
    <col min="9" max="9" width="3.85546875" style="174" customWidth="1"/>
    <col min="10" max="10" width="10" style="134" customWidth="1"/>
    <col min="11" max="11" width="3.85546875" style="171" customWidth="1"/>
    <col min="12" max="12" width="5.42578125" style="134" customWidth="1"/>
    <col min="13" max="13" width="7.28515625" style="171" customWidth="1"/>
    <col min="14" max="14" width="3.5703125" style="134" customWidth="1"/>
    <col min="15" max="16384" width="8.85546875" style="134"/>
  </cols>
  <sheetData>
    <row r="1" spans="1:18" ht="12.75" customHeight="1" x14ac:dyDescent="0.3">
      <c r="B1" s="132"/>
      <c r="C1" s="133"/>
      <c r="D1" s="132"/>
      <c r="E1" s="133"/>
      <c r="F1" s="132"/>
      <c r="G1" s="133"/>
      <c r="H1" s="132"/>
      <c r="I1" s="133"/>
    </row>
    <row r="2" spans="1:18" s="136" customFormat="1" ht="31.5" customHeight="1" x14ac:dyDescent="0.3">
      <c r="A2" s="193" t="s">
        <v>185</v>
      </c>
      <c r="B2" s="194"/>
      <c r="C2" s="194"/>
      <c r="D2" s="195" t="s">
        <v>247</v>
      </c>
      <c r="E2" s="133"/>
      <c r="F2" s="132"/>
      <c r="G2" s="133"/>
      <c r="H2" s="132"/>
      <c r="I2" s="133"/>
      <c r="J2" s="132"/>
      <c r="K2" s="133"/>
      <c r="L2" s="132"/>
      <c r="M2" s="133"/>
      <c r="N2" s="132"/>
      <c r="O2" s="132"/>
      <c r="P2" s="132"/>
    </row>
    <row r="3" spans="1:18" s="136" customFormat="1" ht="17.25" x14ac:dyDescent="0.3">
      <c r="A3" s="196" t="s">
        <v>154</v>
      </c>
      <c r="B3" s="197"/>
      <c r="C3" s="214"/>
      <c r="D3" s="198" t="s">
        <v>161</v>
      </c>
      <c r="E3" s="283"/>
      <c r="F3" s="188"/>
      <c r="G3" s="133"/>
      <c r="H3" s="132"/>
      <c r="I3" s="133"/>
      <c r="J3" s="132"/>
      <c r="K3" s="133"/>
      <c r="L3" s="132"/>
      <c r="M3" s="133"/>
      <c r="N3" s="132"/>
      <c r="O3" s="132"/>
      <c r="P3" s="132"/>
    </row>
    <row r="4" spans="1:18" ht="10.5" customHeight="1" thickBot="1" x14ac:dyDescent="0.35">
      <c r="A4" s="137"/>
      <c r="B4" s="137"/>
      <c r="C4" s="215"/>
      <c r="D4" s="137"/>
      <c r="E4" s="215"/>
      <c r="F4" s="337"/>
      <c r="G4" s="337"/>
      <c r="H4" s="337"/>
      <c r="I4" s="337"/>
    </row>
    <row r="5" spans="1:18" ht="30.75" customHeight="1" thickBot="1" x14ac:dyDescent="0.35">
      <c r="A5" s="233"/>
      <c r="B5" s="233"/>
      <c r="C5" s="234"/>
      <c r="D5" s="349" t="s">
        <v>176</v>
      </c>
      <c r="E5" s="349"/>
      <c r="F5" s="348" t="s">
        <v>175</v>
      </c>
      <c r="G5" s="348"/>
      <c r="H5" s="348"/>
      <c r="I5" s="348"/>
      <c r="J5" s="348"/>
      <c r="K5" s="348"/>
      <c r="L5" s="348"/>
      <c r="M5" s="348"/>
    </row>
    <row r="6" spans="1:18" s="141" customFormat="1" ht="19.5" customHeight="1" x14ac:dyDescent="0.3">
      <c r="A6" s="139"/>
      <c r="B6" s="140" t="s">
        <v>140</v>
      </c>
      <c r="C6" s="226"/>
      <c r="D6" s="354"/>
      <c r="E6" s="354"/>
      <c r="F6" s="352" t="s">
        <v>250</v>
      </c>
      <c r="G6" s="352"/>
      <c r="H6" s="352"/>
      <c r="I6" s="352"/>
      <c r="J6" s="352" t="s">
        <v>129</v>
      </c>
      <c r="K6" s="352"/>
      <c r="L6" s="352"/>
      <c r="M6" s="352"/>
    </row>
    <row r="7" spans="1:18" s="142" customFormat="1" ht="16.5" customHeight="1" thickBot="1" x14ac:dyDescent="0.35">
      <c r="A7" s="229" t="s">
        <v>141</v>
      </c>
      <c r="B7" s="230" t="s">
        <v>140</v>
      </c>
      <c r="C7" s="230"/>
      <c r="D7" s="350"/>
      <c r="E7" s="350"/>
      <c r="F7" s="353" t="s">
        <v>177</v>
      </c>
      <c r="G7" s="353"/>
      <c r="H7" s="353" t="s">
        <v>178</v>
      </c>
      <c r="I7" s="353"/>
      <c r="J7" s="353" t="s">
        <v>177</v>
      </c>
      <c r="K7" s="353"/>
      <c r="L7" s="353" t="s">
        <v>178</v>
      </c>
      <c r="M7" s="353"/>
    </row>
    <row r="8" spans="1:18" s="146" customFormat="1" ht="12.75" customHeight="1" x14ac:dyDescent="0.25">
      <c r="A8" s="143">
        <v>2007</v>
      </c>
      <c r="B8" s="143"/>
      <c r="C8" s="213"/>
      <c r="D8" s="144">
        <v>64480</v>
      </c>
      <c r="E8" s="145" t="s">
        <v>508</v>
      </c>
      <c r="F8" s="144">
        <v>7058</v>
      </c>
      <c r="G8" s="145" t="s">
        <v>508</v>
      </c>
      <c r="H8" s="199">
        <v>10.946029776674939</v>
      </c>
      <c r="I8" s="145" t="s">
        <v>508</v>
      </c>
      <c r="J8" s="144">
        <v>57422</v>
      </c>
      <c r="K8" s="145" t="s">
        <v>508</v>
      </c>
      <c r="L8" s="199">
        <v>89.053970223325067</v>
      </c>
      <c r="M8" s="145" t="s">
        <v>508</v>
      </c>
    </row>
    <row r="9" spans="1:18" s="146" customFormat="1" ht="12.75" customHeight="1" x14ac:dyDescent="0.25">
      <c r="A9" s="143">
        <v>2008</v>
      </c>
      <c r="B9" s="143"/>
      <c r="C9" s="213"/>
      <c r="D9" s="144">
        <v>67428</v>
      </c>
      <c r="E9" s="145" t="s">
        <v>508</v>
      </c>
      <c r="F9" s="144">
        <v>8183</v>
      </c>
      <c r="G9" s="145" t="s">
        <v>508</v>
      </c>
      <c r="H9" s="199">
        <v>12.135907931423148</v>
      </c>
      <c r="I9" s="145" t="s">
        <v>508</v>
      </c>
      <c r="J9" s="144">
        <v>59245</v>
      </c>
      <c r="K9" s="145" t="s">
        <v>508</v>
      </c>
      <c r="L9" s="199">
        <v>87.864092068576852</v>
      </c>
      <c r="M9" s="145" t="s">
        <v>508</v>
      </c>
    </row>
    <row r="10" spans="1:18" s="146" customFormat="1" ht="12.75" customHeight="1" x14ac:dyDescent="0.25">
      <c r="A10" s="143">
        <v>2009</v>
      </c>
      <c r="B10" s="143"/>
      <c r="C10" s="213"/>
      <c r="D10" s="144">
        <v>74670</v>
      </c>
      <c r="E10" s="145" t="s">
        <v>508</v>
      </c>
      <c r="F10" s="144">
        <v>9753</v>
      </c>
      <c r="G10" s="145" t="s">
        <v>508</v>
      </c>
      <c r="H10" s="199">
        <v>13.061470470068301</v>
      </c>
      <c r="I10" s="145" t="s">
        <v>508</v>
      </c>
      <c r="J10" s="144">
        <v>64917</v>
      </c>
      <c r="K10" s="145" t="s">
        <v>508</v>
      </c>
      <c r="L10" s="199">
        <v>86.938529529931699</v>
      </c>
      <c r="M10" s="145" t="s">
        <v>508</v>
      </c>
    </row>
    <row r="11" spans="1:18" s="146" customFormat="1" ht="12.75" customHeight="1" x14ac:dyDescent="0.25">
      <c r="A11" s="143">
        <v>2010</v>
      </c>
      <c r="B11" s="143"/>
      <c r="C11" s="213"/>
      <c r="D11" s="144">
        <v>59173</v>
      </c>
      <c r="E11" s="145" t="s">
        <v>508</v>
      </c>
      <c r="F11" s="144">
        <v>8144</v>
      </c>
      <c r="G11" s="145" t="s">
        <v>508</v>
      </c>
      <c r="H11" s="199">
        <v>13.763033816098558</v>
      </c>
      <c r="I11" s="145" t="s">
        <v>508</v>
      </c>
      <c r="J11" s="144">
        <v>51029</v>
      </c>
      <c r="K11" s="145" t="s">
        <v>508</v>
      </c>
      <c r="L11" s="199">
        <v>86.236966183901444</v>
      </c>
      <c r="M11" s="145" t="s">
        <v>508</v>
      </c>
    </row>
    <row r="12" spans="1:18" s="146" customFormat="1" ht="12.75" customHeight="1" x14ac:dyDescent="0.25">
      <c r="A12" s="143">
        <v>2011</v>
      </c>
      <c r="B12" s="143"/>
      <c r="C12" s="213"/>
      <c r="D12" s="144">
        <v>41876</v>
      </c>
      <c r="E12" s="145" t="s">
        <v>508</v>
      </c>
      <c r="F12" s="144">
        <v>8893</v>
      </c>
      <c r="G12" s="145" t="s">
        <v>508</v>
      </c>
      <c r="H12" s="199">
        <v>21.236507784888719</v>
      </c>
      <c r="I12" s="145" t="s">
        <v>508</v>
      </c>
      <c r="J12" s="144">
        <v>32983</v>
      </c>
      <c r="K12" s="145" t="s">
        <v>508</v>
      </c>
      <c r="L12" s="199">
        <v>78.763492215111285</v>
      </c>
      <c r="M12" s="145" t="s">
        <v>508</v>
      </c>
    </row>
    <row r="13" spans="1:18" s="146" customFormat="1" ht="12.75" customHeight="1" x14ac:dyDescent="0.25">
      <c r="A13" s="143">
        <v>2012</v>
      </c>
      <c r="B13" s="143"/>
      <c r="C13" s="213"/>
      <c r="D13" s="144">
        <v>31787</v>
      </c>
      <c r="E13" s="145" t="s">
        <v>508</v>
      </c>
      <c r="F13" s="144">
        <v>7523</v>
      </c>
      <c r="G13" s="145" t="s">
        <v>508</v>
      </c>
      <c r="H13" s="199">
        <v>23.666907855412589</v>
      </c>
      <c r="I13" s="145" t="s">
        <v>508</v>
      </c>
      <c r="J13" s="144">
        <v>24264</v>
      </c>
      <c r="K13" s="145" t="s">
        <v>508</v>
      </c>
      <c r="L13" s="199">
        <v>76.333092144587411</v>
      </c>
      <c r="M13" s="145" t="s">
        <v>508</v>
      </c>
    </row>
    <row r="14" spans="1:18" s="146" customFormat="1" ht="12.75" customHeight="1" x14ac:dyDescent="0.25">
      <c r="A14" s="143">
        <v>2013</v>
      </c>
      <c r="B14" s="143"/>
      <c r="C14" s="213"/>
      <c r="D14" s="144">
        <v>24571</v>
      </c>
      <c r="E14" s="145" t="s">
        <v>508</v>
      </c>
      <c r="F14" s="144">
        <v>5999</v>
      </c>
      <c r="G14" s="145" t="s">
        <v>508</v>
      </c>
      <c r="H14" s="199">
        <v>24.414960726059178</v>
      </c>
      <c r="I14" s="145" t="s">
        <v>508</v>
      </c>
      <c r="J14" s="144">
        <v>18572</v>
      </c>
      <c r="K14" s="145" t="s">
        <v>508</v>
      </c>
      <c r="L14" s="199">
        <v>75.585039273940822</v>
      </c>
      <c r="M14" s="145" t="s">
        <v>508</v>
      </c>
    </row>
    <row r="15" spans="1:18" s="146" customFormat="1" ht="12.75" customHeight="1" x14ac:dyDescent="0.25">
      <c r="A15" s="143">
        <v>2014</v>
      </c>
      <c r="B15" s="143"/>
      <c r="C15" s="213"/>
      <c r="D15" s="144">
        <v>20345</v>
      </c>
      <c r="E15" s="145" t="s">
        <v>508</v>
      </c>
      <c r="F15" s="144">
        <v>4956</v>
      </c>
      <c r="G15" s="145" t="s">
        <v>508</v>
      </c>
      <c r="H15" s="199">
        <v>24.359793561071516</v>
      </c>
      <c r="I15" s="145" t="s">
        <v>508</v>
      </c>
      <c r="J15" s="144">
        <v>15389</v>
      </c>
      <c r="K15" s="145" t="s">
        <v>508</v>
      </c>
      <c r="L15" s="199">
        <v>75.640206438928487</v>
      </c>
      <c r="M15" s="145" t="s">
        <v>508</v>
      </c>
    </row>
    <row r="16" spans="1:18" s="146" customFormat="1" ht="12.75" customHeight="1" x14ac:dyDescent="0.25">
      <c r="A16" s="143">
        <v>2015</v>
      </c>
      <c r="B16" s="143"/>
      <c r="C16" s="213"/>
      <c r="D16" s="144">
        <v>15845</v>
      </c>
      <c r="E16" s="145" t="s">
        <v>508</v>
      </c>
      <c r="F16" s="144">
        <v>3904</v>
      </c>
      <c r="G16" s="145" t="s">
        <v>508</v>
      </c>
      <c r="H16" s="199">
        <v>24.63868728305459</v>
      </c>
      <c r="I16" s="145" t="s">
        <v>508</v>
      </c>
      <c r="J16" s="144">
        <v>11941</v>
      </c>
      <c r="K16" s="145" t="s">
        <v>508</v>
      </c>
      <c r="L16" s="199">
        <v>75.361312716945406</v>
      </c>
      <c r="M16" s="145" t="s">
        <v>508</v>
      </c>
      <c r="R16" s="147"/>
    </row>
    <row r="17" spans="1:13" s="146" customFormat="1" ht="12.75" customHeight="1" x14ac:dyDescent="0.25">
      <c r="A17" s="143">
        <v>2016</v>
      </c>
      <c r="B17" s="213" t="s">
        <v>508</v>
      </c>
      <c r="D17" s="144">
        <v>15006</v>
      </c>
      <c r="E17" s="145" t="s">
        <v>280</v>
      </c>
      <c r="F17" s="144">
        <v>3531</v>
      </c>
      <c r="G17" s="145" t="s">
        <v>508</v>
      </c>
      <c r="H17" s="199">
        <v>23.530587764894044</v>
      </c>
      <c r="I17" s="145" t="s">
        <v>508</v>
      </c>
      <c r="J17" s="144">
        <v>11475</v>
      </c>
      <c r="K17" s="145" t="s">
        <v>508</v>
      </c>
      <c r="L17" s="199">
        <v>76.469412235105963</v>
      </c>
      <c r="M17" s="145" t="s">
        <v>508</v>
      </c>
    </row>
    <row r="18" spans="1:13" s="142" customFormat="1" ht="12.75" customHeight="1" x14ac:dyDescent="0.25">
      <c r="A18" s="148"/>
      <c r="B18" s="148"/>
      <c r="C18" s="218"/>
      <c r="D18" s="149"/>
      <c r="E18" s="154"/>
      <c r="F18" s="149"/>
      <c r="G18" s="154"/>
      <c r="H18" s="200"/>
      <c r="I18" s="154"/>
      <c r="J18" s="149"/>
      <c r="K18" s="154"/>
      <c r="L18" s="200"/>
      <c r="M18" s="154"/>
    </row>
    <row r="19" spans="1:13" s="142" customFormat="1" ht="12.75" customHeight="1" x14ac:dyDescent="0.25">
      <c r="A19" s="151">
        <v>2007</v>
      </c>
      <c r="B19" s="152" t="s">
        <v>1</v>
      </c>
      <c r="C19" s="219"/>
      <c r="D19" s="153">
        <v>17937</v>
      </c>
      <c r="E19" s="154" t="s">
        <v>508</v>
      </c>
      <c r="F19" s="153">
        <v>1981</v>
      </c>
      <c r="G19" s="154" t="s">
        <v>508</v>
      </c>
      <c r="H19" s="155">
        <v>11.044210291576071</v>
      </c>
      <c r="I19" s="154" t="s">
        <v>508</v>
      </c>
      <c r="J19" s="153">
        <v>15956</v>
      </c>
      <c r="K19" s="154" t="s">
        <v>508</v>
      </c>
      <c r="L19" s="155">
        <v>88.955789708423922</v>
      </c>
      <c r="M19" s="154" t="s">
        <v>508</v>
      </c>
    </row>
    <row r="20" spans="1:13" s="142" customFormat="1" ht="12.75" customHeight="1" x14ac:dyDescent="0.25">
      <c r="A20" s="151"/>
      <c r="B20" s="152" t="s">
        <v>2</v>
      </c>
      <c r="C20" s="219"/>
      <c r="D20" s="153">
        <v>16489</v>
      </c>
      <c r="E20" s="154" t="s">
        <v>508</v>
      </c>
      <c r="F20" s="153">
        <v>1767</v>
      </c>
      <c r="G20" s="154" t="s">
        <v>508</v>
      </c>
      <c r="H20" s="155">
        <v>10.716235065801444</v>
      </c>
      <c r="I20" s="154" t="s">
        <v>508</v>
      </c>
      <c r="J20" s="153">
        <v>14722</v>
      </c>
      <c r="K20" s="154" t="s">
        <v>508</v>
      </c>
      <c r="L20" s="155">
        <v>89.283764934198558</v>
      </c>
      <c r="M20" s="154" t="s">
        <v>508</v>
      </c>
    </row>
    <row r="21" spans="1:13" s="142" customFormat="1" ht="12.75" customHeight="1" x14ac:dyDescent="0.25">
      <c r="A21" s="151"/>
      <c r="B21" s="152" t="s">
        <v>3</v>
      </c>
      <c r="C21" s="219"/>
      <c r="D21" s="153">
        <v>15600</v>
      </c>
      <c r="E21" s="154" t="s">
        <v>508</v>
      </c>
      <c r="F21" s="153">
        <v>1660</v>
      </c>
      <c r="G21" s="154" t="s">
        <v>508</v>
      </c>
      <c r="H21" s="155">
        <v>10.641025641025641</v>
      </c>
      <c r="I21" s="154" t="s">
        <v>508</v>
      </c>
      <c r="J21" s="153">
        <v>13940</v>
      </c>
      <c r="K21" s="154" t="s">
        <v>508</v>
      </c>
      <c r="L21" s="155">
        <v>89.358974358974365</v>
      </c>
      <c r="M21" s="154" t="s">
        <v>508</v>
      </c>
    </row>
    <row r="22" spans="1:13" s="142" customFormat="1" ht="12.75" customHeight="1" x14ac:dyDescent="0.25">
      <c r="A22" s="151"/>
      <c r="B22" s="152" t="s">
        <v>4</v>
      </c>
      <c r="C22" s="219"/>
      <c r="D22" s="153">
        <v>14454</v>
      </c>
      <c r="E22" s="154" t="s">
        <v>508</v>
      </c>
      <c r="F22" s="153">
        <v>1650</v>
      </c>
      <c r="G22" s="154" t="s">
        <v>508</v>
      </c>
      <c r="H22" s="155">
        <v>11.415525114155251</v>
      </c>
      <c r="I22" s="154" t="s">
        <v>508</v>
      </c>
      <c r="J22" s="153">
        <v>12804</v>
      </c>
      <c r="K22" s="154" t="s">
        <v>508</v>
      </c>
      <c r="L22" s="155">
        <v>88.584474885844742</v>
      </c>
      <c r="M22" s="154" t="s">
        <v>508</v>
      </c>
    </row>
    <row r="23" spans="1:13" s="142" customFormat="1" ht="12.75" customHeight="1" x14ac:dyDescent="0.25">
      <c r="A23" s="151"/>
      <c r="B23" s="152"/>
      <c r="C23" s="219"/>
      <c r="D23" s="153"/>
      <c r="E23" s="154"/>
      <c r="F23" s="153"/>
      <c r="G23" s="154"/>
      <c r="H23" s="155"/>
      <c r="I23" s="154"/>
      <c r="J23" s="153"/>
      <c r="K23" s="154"/>
      <c r="L23" s="155"/>
      <c r="M23" s="154"/>
    </row>
    <row r="24" spans="1:13" s="142" customFormat="1" ht="12.75" customHeight="1" x14ac:dyDescent="0.25">
      <c r="A24" s="151">
        <v>2008</v>
      </c>
      <c r="B24" s="152" t="s">
        <v>1</v>
      </c>
      <c r="C24" s="219"/>
      <c r="D24" s="153">
        <v>15814</v>
      </c>
      <c r="E24" s="154" t="s">
        <v>508</v>
      </c>
      <c r="F24" s="153">
        <v>1915</v>
      </c>
      <c r="G24" s="154" t="s">
        <v>508</v>
      </c>
      <c r="H24" s="155">
        <v>12.109523207284685</v>
      </c>
      <c r="I24" s="154" t="s">
        <v>508</v>
      </c>
      <c r="J24" s="153">
        <v>13899</v>
      </c>
      <c r="K24" s="154" t="s">
        <v>508</v>
      </c>
      <c r="L24" s="155">
        <v>87.890476792715305</v>
      </c>
      <c r="M24" s="154" t="s">
        <v>508</v>
      </c>
    </row>
    <row r="25" spans="1:13" s="142" customFormat="1" ht="12.75" customHeight="1" x14ac:dyDescent="0.25">
      <c r="A25" s="151"/>
      <c r="B25" s="152" t="s">
        <v>2</v>
      </c>
      <c r="C25" s="219"/>
      <c r="D25" s="153">
        <v>16373</v>
      </c>
      <c r="E25" s="154" t="s">
        <v>508</v>
      </c>
      <c r="F25" s="153">
        <v>1828</v>
      </c>
      <c r="G25" s="154" t="s">
        <v>508</v>
      </c>
      <c r="H25" s="155">
        <v>11.164722408843829</v>
      </c>
      <c r="I25" s="154" t="s">
        <v>508</v>
      </c>
      <c r="J25" s="153">
        <v>14545</v>
      </c>
      <c r="K25" s="154" t="s">
        <v>508</v>
      </c>
      <c r="L25" s="155">
        <v>88.835277591156171</v>
      </c>
      <c r="M25" s="154" t="s">
        <v>508</v>
      </c>
    </row>
    <row r="26" spans="1:13" s="142" customFormat="1" ht="12.75" customHeight="1" x14ac:dyDescent="0.25">
      <c r="A26" s="151"/>
      <c r="B26" s="152" t="s">
        <v>3</v>
      </c>
      <c r="C26" s="219"/>
      <c r="D26" s="153">
        <v>17237</v>
      </c>
      <c r="E26" s="154" t="s">
        <v>508</v>
      </c>
      <c r="F26" s="153">
        <v>2115</v>
      </c>
      <c r="G26" s="154" t="s">
        <v>508</v>
      </c>
      <c r="H26" s="155">
        <v>12.270116609618844</v>
      </c>
      <c r="I26" s="154" t="s">
        <v>508</v>
      </c>
      <c r="J26" s="153">
        <v>15122</v>
      </c>
      <c r="K26" s="154" t="s">
        <v>508</v>
      </c>
      <c r="L26" s="155">
        <v>87.729883390381161</v>
      </c>
      <c r="M26" s="154" t="s">
        <v>508</v>
      </c>
    </row>
    <row r="27" spans="1:13" s="142" customFormat="1" ht="12.75" customHeight="1" x14ac:dyDescent="0.25">
      <c r="A27" s="151"/>
      <c r="B27" s="152" t="s">
        <v>4</v>
      </c>
      <c r="C27" s="219"/>
      <c r="D27" s="153">
        <v>18004</v>
      </c>
      <c r="E27" s="154" t="s">
        <v>508</v>
      </c>
      <c r="F27" s="153">
        <v>2325</v>
      </c>
      <c r="G27" s="154" t="s">
        <v>508</v>
      </c>
      <c r="H27" s="155">
        <v>12.913796934014663</v>
      </c>
      <c r="I27" s="154" t="s">
        <v>508</v>
      </c>
      <c r="J27" s="153">
        <v>15679</v>
      </c>
      <c r="K27" s="154" t="s">
        <v>508</v>
      </c>
      <c r="L27" s="155">
        <v>87.08620306598533</v>
      </c>
      <c r="M27" s="154" t="s">
        <v>508</v>
      </c>
    </row>
    <row r="28" spans="1:13" s="142" customFormat="1" ht="12.75" customHeight="1" x14ac:dyDescent="0.25">
      <c r="A28" s="151"/>
      <c r="B28" s="152"/>
      <c r="C28" s="219"/>
      <c r="D28" s="153"/>
      <c r="E28" s="154"/>
      <c r="F28" s="153"/>
      <c r="G28" s="154"/>
      <c r="H28" s="155"/>
      <c r="I28" s="154"/>
      <c r="J28" s="153"/>
      <c r="K28" s="154"/>
      <c r="L28" s="155"/>
      <c r="M28" s="154"/>
    </row>
    <row r="29" spans="1:13" s="142" customFormat="1" ht="12.75" customHeight="1" x14ac:dyDescent="0.25">
      <c r="A29" s="151">
        <v>2009</v>
      </c>
      <c r="B29" s="152" t="s">
        <v>1</v>
      </c>
      <c r="C29" s="219"/>
      <c r="D29" s="153">
        <v>20446</v>
      </c>
      <c r="E29" s="154" t="s">
        <v>508</v>
      </c>
      <c r="F29" s="153">
        <v>2798</v>
      </c>
      <c r="G29" s="154" t="s">
        <v>508</v>
      </c>
      <c r="H29" s="155">
        <v>13.684828328279369</v>
      </c>
      <c r="I29" s="154" t="s">
        <v>508</v>
      </c>
      <c r="J29" s="153">
        <v>17648</v>
      </c>
      <c r="K29" s="154" t="s">
        <v>508</v>
      </c>
      <c r="L29" s="155">
        <v>86.31517167172062</v>
      </c>
      <c r="M29" s="154" t="s">
        <v>508</v>
      </c>
    </row>
    <row r="30" spans="1:13" s="142" customFormat="1" ht="12.75" customHeight="1" x14ac:dyDescent="0.25">
      <c r="A30" s="151"/>
      <c r="B30" s="152" t="s">
        <v>2</v>
      </c>
      <c r="C30" s="219"/>
      <c r="D30" s="153">
        <v>18870</v>
      </c>
      <c r="E30" s="154" t="s">
        <v>508</v>
      </c>
      <c r="F30" s="153">
        <v>2470</v>
      </c>
      <c r="G30" s="154" t="s">
        <v>508</v>
      </c>
      <c r="H30" s="155">
        <v>13.089560148383677</v>
      </c>
      <c r="I30" s="154" t="s">
        <v>508</v>
      </c>
      <c r="J30" s="153">
        <v>16400</v>
      </c>
      <c r="K30" s="154" t="s">
        <v>508</v>
      </c>
      <c r="L30" s="155">
        <v>86.910439851616317</v>
      </c>
      <c r="M30" s="154" t="s">
        <v>508</v>
      </c>
    </row>
    <row r="31" spans="1:13" s="142" customFormat="1" ht="12.75" customHeight="1" x14ac:dyDescent="0.25">
      <c r="A31" s="151"/>
      <c r="B31" s="152" t="s">
        <v>3</v>
      </c>
      <c r="C31" s="219"/>
      <c r="D31" s="153">
        <v>18347</v>
      </c>
      <c r="E31" s="154" t="s">
        <v>508</v>
      </c>
      <c r="F31" s="153">
        <v>2280</v>
      </c>
      <c r="G31" s="154" t="s">
        <v>508</v>
      </c>
      <c r="H31" s="155">
        <v>12.427099798332153</v>
      </c>
      <c r="I31" s="154" t="s">
        <v>508</v>
      </c>
      <c r="J31" s="153">
        <v>16067</v>
      </c>
      <c r="K31" s="154" t="s">
        <v>508</v>
      </c>
      <c r="L31" s="155">
        <v>87.572900201667849</v>
      </c>
      <c r="M31" s="154" t="s">
        <v>508</v>
      </c>
    </row>
    <row r="32" spans="1:13" s="142" customFormat="1" ht="12.75" customHeight="1" x14ac:dyDescent="0.25">
      <c r="A32" s="151"/>
      <c r="B32" s="152" t="s">
        <v>4</v>
      </c>
      <c r="C32" s="219"/>
      <c r="D32" s="153">
        <v>17007</v>
      </c>
      <c r="E32" s="154" t="s">
        <v>508</v>
      </c>
      <c r="F32" s="153">
        <v>2205</v>
      </c>
      <c r="G32" s="154" t="s">
        <v>508</v>
      </c>
      <c r="H32" s="155">
        <v>12.965249603104603</v>
      </c>
      <c r="I32" s="154" t="s">
        <v>508</v>
      </c>
      <c r="J32" s="153">
        <v>14802</v>
      </c>
      <c r="K32" s="154" t="s">
        <v>508</v>
      </c>
      <c r="L32" s="155">
        <v>87.034750396895404</v>
      </c>
      <c r="M32" s="154" t="s">
        <v>508</v>
      </c>
    </row>
    <row r="33" spans="1:13" s="142" customFormat="1" ht="12.75" customHeight="1" x14ac:dyDescent="0.25">
      <c r="A33" s="151"/>
      <c r="B33" s="152"/>
      <c r="C33" s="219"/>
      <c r="D33" s="153"/>
      <c r="E33" s="154"/>
      <c r="F33" s="153"/>
      <c r="G33" s="154"/>
      <c r="H33" s="155"/>
      <c r="I33" s="154"/>
      <c r="J33" s="153"/>
      <c r="K33" s="154"/>
      <c r="L33" s="155"/>
      <c r="M33" s="154"/>
    </row>
    <row r="34" spans="1:13" s="142" customFormat="1" ht="12.75" customHeight="1" x14ac:dyDescent="0.25">
      <c r="A34" s="151">
        <v>2010</v>
      </c>
      <c r="B34" s="152" t="s">
        <v>1</v>
      </c>
      <c r="C34" s="219"/>
      <c r="D34" s="153">
        <v>18256</v>
      </c>
      <c r="E34" s="154" t="s">
        <v>508</v>
      </c>
      <c r="F34" s="153">
        <v>2316</v>
      </c>
      <c r="G34" s="154" t="s">
        <v>508</v>
      </c>
      <c r="H34" s="155">
        <v>12.68624014022787</v>
      </c>
      <c r="I34" s="154" t="s">
        <v>508</v>
      </c>
      <c r="J34" s="153">
        <v>15940</v>
      </c>
      <c r="K34" s="154" t="s">
        <v>508</v>
      </c>
      <c r="L34" s="155">
        <v>87.313759859772134</v>
      </c>
      <c r="M34" s="154" t="s">
        <v>508</v>
      </c>
    </row>
    <row r="35" spans="1:13" s="142" customFormat="1" ht="12.75" customHeight="1" x14ac:dyDescent="0.25">
      <c r="A35" s="151"/>
      <c r="B35" s="152" t="s">
        <v>2</v>
      </c>
      <c r="C35" s="219"/>
      <c r="D35" s="153">
        <v>14982</v>
      </c>
      <c r="E35" s="154" t="s">
        <v>508</v>
      </c>
      <c r="F35" s="153">
        <v>1911</v>
      </c>
      <c r="G35" s="154" t="s">
        <v>508</v>
      </c>
      <c r="H35" s="155">
        <v>12.75530636764117</v>
      </c>
      <c r="I35" s="154" t="s">
        <v>508</v>
      </c>
      <c r="J35" s="153">
        <v>13071</v>
      </c>
      <c r="K35" s="154" t="s">
        <v>508</v>
      </c>
      <c r="L35" s="155">
        <v>87.244693632358832</v>
      </c>
      <c r="M35" s="154" t="s">
        <v>508</v>
      </c>
    </row>
    <row r="36" spans="1:13" s="142" customFormat="1" ht="12.75" customHeight="1" x14ac:dyDescent="0.25">
      <c r="A36" s="151"/>
      <c r="B36" s="152" t="s">
        <v>3</v>
      </c>
      <c r="C36" s="219"/>
      <c r="D36" s="153">
        <v>13907</v>
      </c>
      <c r="E36" s="154" t="s">
        <v>508</v>
      </c>
      <c r="F36" s="153">
        <v>1650</v>
      </c>
      <c r="G36" s="154" t="s">
        <v>508</v>
      </c>
      <c r="H36" s="155">
        <v>11.864528654634357</v>
      </c>
      <c r="I36" s="154" t="s">
        <v>508</v>
      </c>
      <c r="J36" s="153">
        <v>12257</v>
      </c>
      <c r="K36" s="154" t="s">
        <v>508</v>
      </c>
      <c r="L36" s="155">
        <v>88.135471345365644</v>
      </c>
      <c r="M36" s="154" t="s">
        <v>508</v>
      </c>
    </row>
    <row r="37" spans="1:13" s="142" customFormat="1" ht="12.75" customHeight="1" x14ac:dyDescent="0.25">
      <c r="A37" s="151"/>
      <c r="B37" s="152" t="s">
        <v>4</v>
      </c>
      <c r="C37" s="219"/>
      <c r="D37" s="153">
        <v>12028</v>
      </c>
      <c r="E37" s="154" t="s">
        <v>508</v>
      </c>
      <c r="F37" s="153">
        <v>2267</v>
      </c>
      <c r="G37" s="154" t="s">
        <v>508</v>
      </c>
      <c r="H37" s="155">
        <v>18.847688726305286</v>
      </c>
      <c r="I37" s="154" t="s">
        <v>508</v>
      </c>
      <c r="J37" s="153">
        <v>9761</v>
      </c>
      <c r="K37" s="154" t="s">
        <v>508</v>
      </c>
      <c r="L37" s="155">
        <v>81.152311273694707</v>
      </c>
      <c r="M37" s="154" t="s">
        <v>508</v>
      </c>
    </row>
    <row r="38" spans="1:13" s="142" customFormat="1" ht="12.75" customHeight="1" x14ac:dyDescent="0.25">
      <c r="A38" s="151"/>
      <c r="B38" s="152"/>
      <c r="C38" s="219"/>
      <c r="D38" s="153"/>
      <c r="E38" s="154"/>
      <c r="F38" s="153"/>
      <c r="G38" s="154"/>
      <c r="H38" s="155"/>
      <c r="I38" s="154"/>
      <c r="J38" s="153"/>
      <c r="K38" s="154"/>
      <c r="L38" s="155"/>
      <c r="M38" s="154"/>
    </row>
    <row r="39" spans="1:13" s="142" customFormat="1" ht="12.75" customHeight="1" x14ac:dyDescent="0.25">
      <c r="A39" s="151">
        <v>2011</v>
      </c>
      <c r="B39" s="152" t="s">
        <v>1</v>
      </c>
      <c r="C39" s="219"/>
      <c r="D39" s="153">
        <v>12539</v>
      </c>
      <c r="E39" s="154" t="s">
        <v>508</v>
      </c>
      <c r="F39" s="153">
        <v>2579</v>
      </c>
      <c r="G39" s="154" t="s">
        <v>508</v>
      </c>
      <c r="H39" s="155">
        <v>20.56782837546854</v>
      </c>
      <c r="I39" s="154" t="s">
        <v>508</v>
      </c>
      <c r="J39" s="153">
        <v>9960</v>
      </c>
      <c r="K39" s="154" t="s">
        <v>508</v>
      </c>
      <c r="L39" s="155">
        <v>79.432171624531463</v>
      </c>
      <c r="M39" s="154" t="s">
        <v>508</v>
      </c>
    </row>
    <row r="40" spans="1:13" s="142" customFormat="1" ht="12.75" customHeight="1" x14ac:dyDescent="0.25">
      <c r="A40" s="151"/>
      <c r="B40" s="152" t="s">
        <v>2</v>
      </c>
      <c r="C40" s="219"/>
      <c r="D40" s="153">
        <v>11101</v>
      </c>
      <c r="E40" s="154" t="s">
        <v>508</v>
      </c>
      <c r="F40" s="153">
        <v>2324</v>
      </c>
      <c r="G40" s="154" t="s">
        <v>508</v>
      </c>
      <c r="H40" s="155">
        <v>20.935050896315648</v>
      </c>
      <c r="I40" s="154" t="s">
        <v>508</v>
      </c>
      <c r="J40" s="153">
        <v>8777</v>
      </c>
      <c r="K40" s="154" t="s">
        <v>508</v>
      </c>
      <c r="L40" s="155">
        <v>79.064949103684356</v>
      </c>
      <c r="M40" s="154" t="s">
        <v>508</v>
      </c>
    </row>
    <row r="41" spans="1:13" s="142" customFormat="1" ht="12.75" customHeight="1" x14ac:dyDescent="0.25">
      <c r="A41" s="151"/>
      <c r="B41" s="152" t="s">
        <v>3</v>
      </c>
      <c r="C41" s="219"/>
      <c r="D41" s="153">
        <v>9578</v>
      </c>
      <c r="E41" s="154" t="s">
        <v>508</v>
      </c>
      <c r="F41" s="153">
        <v>2035</v>
      </c>
      <c r="G41" s="154" t="s">
        <v>508</v>
      </c>
      <c r="H41" s="155">
        <v>21.246606807266652</v>
      </c>
      <c r="I41" s="154" t="s">
        <v>508</v>
      </c>
      <c r="J41" s="153">
        <v>7543</v>
      </c>
      <c r="K41" s="154" t="s">
        <v>508</v>
      </c>
      <c r="L41" s="155">
        <v>78.753393192733341</v>
      </c>
      <c r="M41" s="154" t="s">
        <v>508</v>
      </c>
    </row>
    <row r="42" spans="1:13" s="142" customFormat="1" ht="12.75" customHeight="1" x14ac:dyDescent="0.25">
      <c r="A42" s="151"/>
      <c r="B42" s="152" t="s">
        <v>4</v>
      </c>
      <c r="C42" s="219"/>
      <c r="D42" s="153">
        <v>8658</v>
      </c>
      <c r="E42" s="154" t="s">
        <v>508</v>
      </c>
      <c r="F42" s="153">
        <v>1955</v>
      </c>
      <c r="G42" s="154" t="s">
        <v>508</v>
      </c>
      <c r="H42" s="155">
        <v>22.580272580272581</v>
      </c>
      <c r="I42" s="154" t="s">
        <v>508</v>
      </c>
      <c r="J42" s="153">
        <v>6703</v>
      </c>
      <c r="K42" s="154" t="s">
        <v>508</v>
      </c>
      <c r="L42" s="155">
        <v>77.419727419727423</v>
      </c>
      <c r="M42" s="154" t="s">
        <v>508</v>
      </c>
    </row>
    <row r="43" spans="1:13" s="142" customFormat="1" ht="12.75" customHeight="1" x14ac:dyDescent="0.25">
      <c r="A43" s="151"/>
      <c r="B43" s="152"/>
      <c r="C43" s="219"/>
      <c r="D43" s="153"/>
      <c r="E43" s="154"/>
      <c r="F43" s="153"/>
      <c r="G43" s="154"/>
      <c r="H43" s="155"/>
      <c r="I43" s="154"/>
      <c r="J43" s="153"/>
      <c r="K43" s="154"/>
      <c r="L43" s="155"/>
      <c r="M43" s="154"/>
    </row>
    <row r="44" spans="1:13" s="142" customFormat="1" ht="12.75" customHeight="1" x14ac:dyDescent="0.25">
      <c r="A44" s="151">
        <v>2012</v>
      </c>
      <c r="B44" s="152" t="s">
        <v>1</v>
      </c>
      <c r="C44" s="219"/>
      <c r="D44" s="153">
        <v>9132</v>
      </c>
      <c r="E44" s="154" t="s">
        <v>508</v>
      </c>
      <c r="F44" s="153">
        <v>2161</v>
      </c>
      <c r="G44" s="154" t="s">
        <v>508</v>
      </c>
      <c r="H44" s="155">
        <v>23.664038545773106</v>
      </c>
      <c r="I44" s="154" t="s">
        <v>508</v>
      </c>
      <c r="J44" s="153">
        <v>6971</v>
      </c>
      <c r="K44" s="154" t="s">
        <v>508</v>
      </c>
      <c r="L44" s="155">
        <v>76.33596145422689</v>
      </c>
      <c r="M44" s="154" t="s">
        <v>508</v>
      </c>
    </row>
    <row r="45" spans="1:13" s="142" customFormat="1" ht="12.75" customHeight="1" x14ac:dyDescent="0.25">
      <c r="A45" s="151"/>
      <c r="B45" s="152" t="s">
        <v>2</v>
      </c>
      <c r="C45" s="219"/>
      <c r="D45" s="153">
        <v>8092</v>
      </c>
      <c r="E45" s="154" t="s">
        <v>508</v>
      </c>
      <c r="F45" s="153">
        <v>1903</v>
      </c>
      <c r="G45" s="154" t="s">
        <v>508</v>
      </c>
      <c r="H45" s="155">
        <v>23.517053880375681</v>
      </c>
      <c r="I45" s="154" t="s">
        <v>508</v>
      </c>
      <c r="J45" s="153">
        <v>6189</v>
      </c>
      <c r="K45" s="154" t="s">
        <v>508</v>
      </c>
      <c r="L45" s="155">
        <v>76.482946119624316</v>
      </c>
      <c r="M45" s="154" t="s">
        <v>508</v>
      </c>
    </row>
    <row r="46" spans="1:13" s="142" customFormat="1" ht="12.75" customHeight="1" x14ac:dyDescent="0.25">
      <c r="A46" s="151"/>
      <c r="B46" s="152" t="s">
        <v>3</v>
      </c>
      <c r="C46" s="219"/>
      <c r="D46" s="153">
        <v>7642</v>
      </c>
      <c r="E46" s="154" t="s">
        <v>508</v>
      </c>
      <c r="F46" s="153">
        <v>1770</v>
      </c>
      <c r="G46" s="154" t="s">
        <v>508</v>
      </c>
      <c r="H46" s="155">
        <v>23.161476053389165</v>
      </c>
      <c r="I46" s="154" t="s">
        <v>508</v>
      </c>
      <c r="J46" s="153">
        <v>5872</v>
      </c>
      <c r="K46" s="154" t="s">
        <v>508</v>
      </c>
      <c r="L46" s="155">
        <v>76.838523946610835</v>
      </c>
      <c r="M46" s="154" t="s">
        <v>508</v>
      </c>
    </row>
    <row r="47" spans="1:13" s="142" customFormat="1" ht="12.75" customHeight="1" x14ac:dyDescent="0.25">
      <c r="A47" s="151"/>
      <c r="B47" s="152" t="s">
        <v>4</v>
      </c>
      <c r="C47" s="219"/>
      <c r="D47" s="153">
        <v>6921</v>
      </c>
      <c r="E47" s="154" t="s">
        <v>508</v>
      </c>
      <c r="F47" s="153">
        <v>1689</v>
      </c>
      <c r="G47" s="154" t="s">
        <v>508</v>
      </c>
      <c r="H47" s="155">
        <v>24.403987863025574</v>
      </c>
      <c r="I47" s="154" t="s">
        <v>508</v>
      </c>
      <c r="J47" s="153">
        <v>5232</v>
      </c>
      <c r="K47" s="154" t="s">
        <v>508</v>
      </c>
      <c r="L47" s="155">
        <v>75.596012136974423</v>
      </c>
      <c r="M47" s="154" t="s">
        <v>508</v>
      </c>
    </row>
    <row r="48" spans="1:13" s="142" customFormat="1" ht="12.75" customHeight="1" x14ac:dyDescent="0.25">
      <c r="A48" s="151"/>
      <c r="B48" s="152"/>
      <c r="C48" s="219"/>
      <c r="D48" s="153"/>
      <c r="E48" s="154"/>
      <c r="F48" s="153"/>
      <c r="G48" s="154"/>
      <c r="H48" s="155"/>
      <c r="I48" s="154"/>
      <c r="J48" s="153"/>
      <c r="K48" s="154"/>
      <c r="L48" s="155"/>
      <c r="M48" s="154"/>
    </row>
    <row r="49" spans="1:13" s="142" customFormat="1" ht="12.75" customHeight="1" x14ac:dyDescent="0.25">
      <c r="A49" s="151">
        <v>2013</v>
      </c>
      <c r="B49" s="152" t="s">
        <v>1</v>
      </c>
      <c r="C49" s="219"/>
      <c r="D49" s="153">
        <v>6673</v>
      </c>
      <c r="E49" s="154" t="s">
        <v>508</v>
      </c>
      <c r="F49" s="153">
        <v>1643</v>
      </c>
      <c r="G49" s="154" t="s">
        <v>508</v>
      </c>
      <c r="H49" s="155">
        <v>24.621609471002547</v>
      </c>
      <c r="I49" s="154" t="s">
        <v>508</v>
      </c>
      <c r="J49" s="153">
        <v>5030</v>
      </c>
      <c r="K49" s="154" t="s">
        <v>508</v>
      </c>
      <c r="L49" s="155">
        <v>75.378390528997457</v>
      </c>
      <c r="M49" s="154" t="s">
        <v>508</v>
      </c>
    </row>
    <row r="50" spans="1:13" s="142" customFormat="1" ht="12.75" customHeight="1" x14ac:dyDescent="0.25">
      <c r="A50" s="151"/>
      <c r="B50" s="152" t="s">
        <v>2</v>
      </c>
      <c r="C50" s="219"/>
      <c r="D50" s="153">
        <v>6480</v>
      </c>
      <c r="E50" s="154" t="s">
        <v>508</v>
      </c>
      <c r="F50" s="153">
        <v>1628</v>
      </c>
      <c r="G50" s="154" t="s">
        <v>508</v>
      </c>
      <c r="H50" s="155">
        <v>25.123456790123456</v>
      </c>
      <c r="I50" s="154" t="s">
        <v>508</v>
      </c>
      <c r="J50" s="153">
        <v>4852</v>
      </c>
      <c r="K50" s="154" t="s">
        <v>508</v>
      </c>
      <c r="L50" s="155">
        <v>74.876543209876544</v>
      </c>
      <c r="M50" s="154" t="s">
        <v>508</v>
      </c>
    </row>
    <row r="51" spans="1:13" s="142" customFormat="1" ht="12.75" customHeight="1" x14ac:dyDescent="0.25">
      <c r="A51" s="151"/>
      <c r="B51" s="152" t="s">
        <v>3</v>
      </c>
      <c r="C51" s="219"/>
      <c r="D51" s="153">
        <v>6009</v>
      </c>
      <c r="E51" s="154" t="s">
        <v>508</v>
      </c>
      <c r="F51" s="153">
        <v>1473</v>
      </c>
      <c r="G51" s="154" t="s">
        <v>508</v>
      </c>
      <c r="H51" s="155">
        <v>24.513230154767847</v>
      </c>
      <c r="I51" s="154" t="s">
        <v>508</v>
      </c>
      <c r="J51" s="153">
        <v>4536</v>
      </c>
      <c r="K51" s="154" t="s">
        <v>508</v>
      </c>
      <c r="L51" s="155">
        <v>75.486769845232146</v>
      </c>
      <c r="M51" s="154" t="s">
        <v>508</v>
      </c>
    </row>
    <row r="52" spans="1:13" s="142" customFormat="1" ht="12.75" customHeight="1" x14ac:dyDescent="0.25">
      <c r="A52" s="151"/>
      <c r="B52" s="152" t="s">
        <v>4</v>
      </c>
      <c r="C52" s="219"/>
      <c r="D52" s="153">
        <v>5409</v>
      </c>
      <c r="E52" s="154" t="s">
        <v>508</v>
      </c>
      <c r="F52" s="153">
        <v>1255</v>
      </c>
      <c r="G52" s="154" t="s">
        <v>508</v>
      </c>
      <c r="H52" s="155">
        <v>23.202070623035681</v>
      </c>
      <c r="I52" s="154" t="s">
        <v>508</v>
      </c>
      <c r="J52" s="153">
        <v>4154</v>
      </c>
      <c r="K52" s="154" t="s">
        <v>508</v>
      </c>
      <c r="L52" s="155">
        <v>76.797929376964319</v>
      </c>
      <c r="M52" s="154" t="s">
        <v>508</v>
      </c>
    </row>
    <row r="53" spans="1:13" s="142" customFormat="1" ht="12.75" customHeight="1" x14ac:dyDescent="0.25">
      <c r="A53" s="151"/>
      <c r="B53" s="152"/>
      <c r="C53" s="219"/>
      <c r="D53" s="153"/>
      <c r="E53" s="154"/>
      <c r="F53" s="153"/>
      <c r="G53" s="154"/>
      <c r="H53" s="155"/>
      <c r="I53" s="154"/>
      <c r="J53" s="153"/>
      <c r="K53" s="154"/>
      <c r="L53" s="155"/>
      <c r="M53" s="154"/>
    </row>
    <row r="54" spans="1:13" s="142" customFormat="1" ht="12.75" customHeight="1" x14ac:dyDescent="0.25">
      <c r="A54" s="151">
        <v>2014</v>
      </c>
      <c r="B54" s="152" t="s">
        <v>1</v>
      </c>
      <c r="C54" s="219"/>
      <c r="D54" s="153">
        <v>5681</v>
      </c>
      <c r="E54" s="154" t="s">
        <v>508</v>
      </c>
      <c r="F54" s="153">
        <v>1467</v>
      </c>
      <c r="G54" s="154" t="s">
        <v>508</v>
      </c>
      <c r="H54" s="155">
        <v>25.822918500264038</v>
      </c>
      <c r="I54" s="154" t="s">
        <v>508</v>
      </c>
      <c r="J54" s="153">
        <v>4214</v>
      </c>
      <c r="K54" s="154" t="s">
        <v>508</v>
      </c>
      <c r="L54" s="155">
        <v>74.177081499735962</v>
      </c>
      <c r="M54" s="154" t="s">
        <v>508</v>
      </c>
    </row>
    <row r="55" spans="1:13" s="142" customFormat="1" ht="12.75" customHeight="1" x14ac:dyDescent="0.25">
      <c r="A55" s="151"/>
      <c r="B55" s="152" t="s">
        <v>2</v>
      </c>
      <c r="C55" s="219"/>
      <c r="D55" s="153">
        <v>5475</v>
      </c>
      <c r="E55" s="154" t="s">
        <v>508</v>
      </c>
      <c r="F55" s="153">
        <v>1381</v>
      </c>
      <c r="G55" s="154" t="s">
        <v>508</v>
      </c>
      <c r="H55" s="155">
        <v>25.223744292237445</v>
      </c>
      <c r="I55" s="154" t="s">
        <v>508</v>
      </c>
      <c r="J55" s="153">
        <v>4094</v>
      </c>
      <c r="K55" s="154" t="s">
        <v>508</v>
      </c>
      <c r="L55" s="155">
        <v>74.776255707762559</v>
      </c>
      <c r="M55" s="154" t="s">
        <v>508</v>
      </c>
    </row>
    <row r="56" spans="1:13" s="142" customFormat="1" ht="12.75" customHeight="1" x14ac:dyDescent="0.25">
      <c r="A56" s="151"/>
      <c r="B56" s="152" t="s">
        <v>3</v>
      </c>
      <c r="C56" s="219"/>
      <c r="D56" s="153">
        <v>4907</v>
      </c>
      <c r="E56" s="154" t="s">
        <v>508</v>
      </c>
      <c r="F56" s="153">
        <v>1139</v>
      </c>
      <c r="G56" s="154" t="s">
        <v>508</v>
      </c>
      <c r="H56" s="155">
        <v>23.211738332993683</v>
      </c>
      <c r="I56" s="154" t="s">
        <v>508</v>
      </c>
      <c r="J56" s="153">
        <v>3768</v>
      </c>
      <c r="K56" s="154" t="s">
        <v>508</v>
      </c>
      <c r="L56" s="155">
        <v>76.788261667006324</v>
      </c>
      <c r="M56" s="154" t="s">
        <v>508</v>
      </c>
    </row>
    <row r="57" spans="1:13" s="142" customFormat="1" ht="12.75" customHeight="1" x14ac:dyDescent="0.25">
      <c r="A57" s="151"/>
      <c r="B57" s="152" t="s">
        <v>4</v>
      </c>
      <c r="C57" s="219"/>
      <c r="D57" s="153">
        <v>4282</v>
      </c>
      <c r="E57" s="154" t="s">
        <v>508</v>
      </c>
      <c r="F57" s="153">
        <v>969</v>
      </c>
      <c r="G57" s="154" t="s">
        <v>508</v>
      </c>
      <c r="H57" s="155">
        <v>22.629612330686594</v>
      </c>
      <c r="I57" s="154" t="s">
        <v>508</v>
      </c>
      <c r="J57" s="153">
        <v>3313</v>
      </c>
      <c r="K57" s="154" t="s">
        <v>508</v>
      </c>
      <c r="L57" s="155">
        <v>77.370387669313402</v>
      </c>
      <c r="M57" s="154" t="s">
        <v>508</v>
      </c>
    </row>
    <row r="58" spans="1:13" s="142" customFormat="1" ht="12.75" customHeight="1" x14ac:dyDescent="0.25">
      <c r="A58" s="151"/>
      <c r="B58" s="152"/>
      <c r="C58" s="219"/>
      <c r="D58" s="153"/>
      <c r="E58" s="154"/>
      <c r="F58" s="153"/>
      <c r="G58" s="154"/>
      <c r="H58" s="155"/>
      <c r="I58" s="154"/>
      <c r="J58" s="153"/>
      <c r="K58" s="154"/>
      <c r="L58" s="155"/>
      <c r="M58" s="154"/>
    </row>
    <row r="59" spans="1:13" s="142" customFormat="1" ht="12.75" customHeight="1" x14ac:dyDescent="0.25">
      <c r="A59" s="151">
        <v>2015</v>
      </c>
      <c r="B59" s="152" t="s">
        <v>1</v>
      </c>
      <c r="C59" s="219"/>
      <c r="D59" s="153">
        <v>4404</v>
      </c>
      <c r="E59" s="154" t="s">
        <v>508</v>
      </c>
      <c r="F59" s="153">
        <v>1117</v>
      </c>
      <c r="G59" s="154" t="s">
        <v>508</v>
      </c>
      <c r="H59" s="155">
        <v>25.36330608537693</v>
      </c>
      <c r="I59" s="154" t="s">
        <v>508</v>
      </c>
      <c r="J59" s="153">
        <v>3287</v>
      </c>
      <c r="K59" s="154" t="s">
        <v>508</v>
      </c>
      <c r="L59" s="155">
        <v>74.636693914623066</v>
      </c>
      <c r="M59" s="154" t="s">
        <v>508</v>
      </c>
    </row>
    <row r="60" spans="1:13" s="142" customFormat="1" ht="12.75" customHeight="1" x14ac:dyDescent="0.25">
      <c r="A60" s="151"/>
      <c r="B60" s="152" t="s">
        <v>2</v>
      </c>
      <c r="C60" s="219"/>
      <c r="D60" s="153">
        <v>3975</v>
      </c>
      <c r="E60" s="154" t="s">
        <v>508</v>
      </c>
      <c r="F60" s="153">
        <v>938</v>
      </c>
      <c r="G60" s="154" t="s">
        <v>508</v>
      </c>
      <c r="H60" s="155">
        <v>23.59748427672956</v>
      </c>
      <c r="I60" s="154" t="s">
        <v>508</v>
      </c>
      <c r="J60" s="153">
        <v>3037</v>
      </c>
      <c r="K60" s="154" t="s">
        <v>508</v>
      </c>
      <c r="L60" s="155">
        <v>76.40251572327044</v>
      </c>
      <c r="M60" s="154" t="s">
        <v>508</v>
      </c>
    </row>
    <row r="61" spans="1:13" s="142" customFormat="1" ht="12.75" customHeight="1" x14ac:dyDescent="0.25">
      <c r="A61" s="151"/>
      <c r="B61" s="152" t="s">
        <v>3</v>
      </c>
      <c r="C61" s="219"/>
      <c r="D61" s="153">
        <v>3896</v>
      </c>
      <c r="E61" s="154" t="s">
        <v>508</v>
      </c>
      <c r="F61" s="153">
        <v>918</v>
      </c>
      <c r="G61" s="154" t="s">
        <v>508</v>
      </c>
      <c r="H61" s="155">
        <v>23.562628336755647</v>
      </c>
      <c r="I61" s="154" t="s">
        <v>508</v>
      </c>
      <c r="J61" s="153">
        <v>2978</v>
      </c>
      <c r="K61" s="154" t="s">
        <v>508</v>
      </c>
      <c r="L61" s="155">
        <v>76.437371663244363</v>
      </c>
      <c r="M61" s="154" t="s">
        <v>508</v>
      </c>
    </row>
    <row r="62" spans="1:13" s="142" customFormat="1" ht="12.75" customHeight="1" x14ac:dyDescent="0.25">
      <c r="A62" s="151"/>
      <c r="B62" s="152" t="s">
        <v>4</v>
      </c>
      <c r="C62" s="219"/>
      <c r="D62" s="153">
        <v>3570</v>
      </c>
      <c r="E62" s="154" t="s">
        <v>508</v>
      </c>
      <c r="F62" s="153">
        <v>931</v>
      </c>
      <c r="G62" s="154" t="s">
        <v>508</v>
      </c>
      <c r="H62" s="155">
        <v>26.078431372549023</v>
      </c>
      <c r="I62" s="154" t="s">
        <v>508</v>
      </c>
      <c r="J62" s="153">
        <v>2639</v>
      </c>
      <c r="K62" s="154" t="s">
        <v>508</v>
      </c>
      <c r="L62" s="155">
        <v>73.921568627450981</v>
      </c>
      <c r="M62" s="154" t="s">
        <v>508</v>
      </c>
    </row>
    <row r="63" spans="1:13" s="142" customFormat="1" ht="12.75" customHeight="1" x14ac:dyDescent="0.25">
      <c r="A63" s="151"/>
      <c r="B63" s="152"/>
      <c r="C63" s="219"/>
      <c r="D63" s="153"/>
      <c r="E63" s="154"/>
      <c r="F63" s="153"/>
      <c r="G63" s="154"/>
      <c r="H63" s="155"/>
      <c r="I63" s="154"/>
      <c r="J63" s="153"/>
      <c r="K63" s="154"/>
      <c r="L63" s="155"/>
      <c r="M63" s="154"/>
    </row>
    <row r="64" spans="1:13" s="142" customFormat="1" ht="12.75" customHeight="1" x14ac:dyDescent="0.25">
      <c r="A64" s="151">
        <v>2016</v>
      </c>
      <c r="B64" s="152" t="s">
        <v>1</v>
      </c>
      <c r="C64" s="219" t="s">
        <v>197</v>
      </c>
      <c r="D64" s="153">
        <v>3775</v>
      </c>
      <c r="E64" s="154" t="s">
        <v>508</v>
      </c>
      <c r="F64" s="153">
        <v>913</v>
      </c>
      <c r="G64" s="154" t="s">
        <v>508</v>
      </c>
      <c r="H64" s="155">
        <v>24.185430463576161</v>
      </c>
      <c r="I64" s="154" t="s">
        <v>508</v>
      </c>
      <c r="J64" s="153">
        <v>2862</v>
      </c>
      <c r="K64" s="154" t="s">
        <v>508</v>
      </c>
      <c r="L64" s="155">
        <v>75.814569536423832</v>
      </c>
      <c r="M64" s="154" t="s">
        <v>508</v>
      </c>
    </row>
    <row r="65" spans="1:27" s="142" customFormat="1" ht="12.75" customHeight="1" x14ac:dyDescent="0.25">
      <c r="A65" s="151"/>
      <c r="B65" s="152" t="s">
        <v>2</v>
      </c>
      <c r="C65" s="219" t="s">
        <v>197</v>
      </c>
      <c r="D65" s="153">
        <v>3688</v>
      </c>
      <c r="E65" s="154" t="s">
        <v>508</v>
      </c>
      <c r="F65" s="153">
        <v>852</v>
      </c>
      <c r="G65" s="154" t="s">
        <v>508</v>
      </c>
      <c r="H65" s="155">
        <v>23.101952277657269</v>
      </c>
      <c r="I65" s="154" t="s">
        <v>508</v>
      </c>
      <c r="J65" s="153">
        <v>2836</v>
      </c>
      <c r="K65" s="154" t="s">
        <v>508</v>
      </c>
      <c r="L65" s="155">
        <v>76.898047722342739</v>
      </c>
      <c r="M65" s="154" t="s">
        <v>508</v>
      </c>
    </row>
    <row r="66" spans="1:27" s="142" customFormat="1" ht="12.75" customHeight="1" x14ac:dyDescent="0.25">
      <c r="A66" s="151"/>
      <c r="B66" s="152" t="s">
        <v>3</v>
      </c>
      <c r="C66" s="219" t="s">
        <v>197</v>
      </c>
      <c r="D66" s="153">
        <v>3925</v>
      </c>
      <c r="E66" s="154" t="s">
        <v>508</v>
      </c>
      <c r="F66" s="153">
        <v>890</v>
      </c>
      <c r="G66" s="154" t="s">
        <v>508</v>
      </c>
      <c r="H66" s="155">
        <v>22.67515923566879</v>
      </c>
      <c r="I66" s="154" t="s">
        <v>508</v>
      </c>
      <c r="J66" s="153">
        <v>3035</v>
      </c>
      <c r="K66" s="154" t="s">
        <v>508</v>
      </c>
      <c r="L66" s="155">
        <v>77.324840764331213</v>
      </c>
      <c r="M66" s="154" t="s">
        <v>508</v>
      </c>
    </row>
    <row r="67" spans="1:27" s="142" customFormat="1" ht="12.75" customHeight="1" x14ac:dyDescent="0.25">
      <c r="A67" s="151"/>
      <c r="B67" s="152" t="s">
        <v>4</v>
      </c>
      <c r="C67" s="219" t="s">
        <v>197</v>
      </c>
      <c r="D67" s="153">
        <v>3618</v>
      </c>
      <c r="E67" s="154" t="s">
        <v>280</v>
      </c>
      <c r="F67" s="153">
        <v>876</v>
      </c>
      <c r="G67" s="154" t="s">
        <v>508</v>
      </c>
      <c r="H67" s="155">
        <v>24.212271973466002</v>
      </c>
      <c r="I67" s="154" t="s">
        <v>508</v>
      </c>
      <c r="J67" s="153">
        <v>2742</v>
      </c>
      <c r="K67" s="154" t="s">
        <v>508</v>
      </c>
      <c r="L67" s="155">
        <v>75.787728026533998</v>
      </c>
      <c r="M67" s="154" t="s">
        <v>508</v>
      </c>
    </row>
    <row r="68" spans="1:27" s="142" customFormat="1" ht="12.75" customHeight="1" x14ac:dyDescent="0.25">
      <c r="A68" s="151"/>
      <c r="B68" s="152"/>
      <c r="C68" s="219"/>
      <c r="D68" s="153"/>
      <c r="E68" s="154"/>
      <c r="F68" s="153"/>
      <c r="G68" s="154"/>
      <c r="H68" s="155"/>
      <c r="I68" s="154"/>
      <c r="J68" s="153"/>
      <c r="K68" s="154"/>
      <c r="L68" s="155"/>
      <c r="M68" s="154"/>
    </row>
    <row r="69" spans="1:27" s="142" customFormat="1" ht="12.75" customHeight="1" x14ac:dyDescent="0.25">
      <c r="A69" s="151">
        <v>2017</v>
      </c>
      <c r="B69" s="152" t="s">
        <v>1</v>
      </c>
      <c r="C69" s="219" t="s">
        <v>508</v>
      </c>
      <c r="D69" s="153">
        <v>4072</v>
      </c>
      <c r="E69" s="154" t="s">
        <v>508</v>
      </c>
      <c r="F69" s="153" t="s">
        <v>67</v>
      </c>
      <c r="G69" s="154" t="s">
        <v>508</v>
      </c>
      <c r="H69" s="155" t="s">
        <v>67</v>
      </c>
      <c r="I69" s="154" t="s">
        <v>508</v>
      </c>
      <c r="J69" s="153" t="s">
        <v>67</v>
      </c>
      <c r="K69" s="154" t="s">
        <v>508</v>
      </c>
      <c r="L69" s="155" t="s">
        <v>67</v>
      </c>
      <c r="M69" s="154" t="s">
        <v>508</v>
      </c>
      <c r="AA69" s="142" t="s">
        <v>508</v>
      </c>
    </row>
    <row r="70" spans="1:27" s="142" customFormat="1" ht="12.75" customHeight="1" thickBot="1" x14ac:dyDescent="0.3">
      <c r="A70" s="152"/>
      <c r="B70" s="156"/>
      <c r="C70" s="220"/>
      <c r="D70" s="153"/>
      <c r="E70" s="154"/>
      <c r="F70" s="153"/>
      <c r="G70" s="154"/>
      <c r="H70" s="155"/>
      <c r="I70" s="154"/>
      <c r="J70" s="153"/>
      <c r="K70" s="154"/>
      <c r="L70" s="155"/>
      <c r="M70" s="154"/>
    </row>
    <row r="71" spans="1:27" s="142" customFormat="1" ht="12.75" customHeight="1" x14ac:dyDescent="0.2">
      <c r="A71" s="159" t="s">
        <v>512</v>
      </c>
      <c r="B71" s="159"/>
      <c r="C71" s="221"/>
      <c r="D71" s="159"/>
      <c r="E71" s="221"/>
      <c r="F71" s="159"/>
      <c r="G71" s="221"/>
      <c r="H71" s="201"/>
      <c r="I71" s="221"/>
      <c r="J71" s="159"/>
      <c r="K71" s="221"/>
      <c r="L71" s="201"/>
      <c r="M71" s="221"/>
    </row>
    <row r="72" spans="1:27" s="142" customFormat="1" ht="12.75" customHeight="1" x14ac:dyDescent="0.2">
      <c r="A72" s="160"/>
      <c r="B72" s="160"/>
      <c r="C72" s="161"/>
      <c r="D72" s="160"/>
      <c r="E72" s="161"/>
      <c r="F72" s="160"/>
      <c r="G72" s="161"/>
      <c r="H72" s="202"/>
      <c r="I72" s="161"/>
      <c r="J72" s="160"/>
      <c r="K72" s="161"/>
      <c r="L72" s="202"/>
      <c r="M72" s="161"/>
    </row>
    <row r="73" spans="1:27" s="142" customFormat="1" ht="12.75" hidden="1" customHeight="1" x14ac:dyDescent="0.2">
      <c r="A73" s="162">
        <v>2016</v>
      </c>
      <c r="B73" s="163" t="s">
        <v>3</v>
      </c>
      <c r="C73" s="222"/>
      <c r="D73" s="164" t="s">
        <v>121</v>
      </c>
      <c r="E73" s="161"/>
      <c r="F73" s="164" t="s">
        <v>121</v>
      </c>
      <c r="G73" s="161"/>
      <c r="H73" s="203"/>
      <c r="I73" s="161"/>
      <c r="J73" s="164" t="s">
        <v>121</v>
      </c>
      <c r="K73" s="161"/>
      <c r="L73" s="203"/>
      <c r="M73" s="161"/>
    </row>
    <row r="74" spans="1:27" s="142" customFormat="1" ht="12.75" hidden="1" customHeight="1" x14ac:dyDescent="0.2">
      <c r="A74" s="167"/>
      <c r="B74" s="167"/>
      <c r="C74" s="223"/>
      <c r="D74" s="167"/>
      <c r="E74" s="281"/>
      <c r="F74" s="167"/>
      <c r="G74" s="281"/>
      <c r="H74" s="204"/>
      <c r="I74" s="281"/>
      <c r="J74" s="167"/>
      <c r="K74" s="281"/>
      <c r="L74" s="204"/>
      <c r="M74" s="281"/>
    </row>
    <row r="75" spans="1:27" s="142" customFormat="1" ht="12.75" customHeight="1" thickBot="1" x14ac:dyDescent="0.25">
      <c r="A75" s="157">
        <v>2015</v>
      </c>
      <c r="B75" s="158" t="s">
        <v>4</v>
      </c>
      <c r="C75" s="224"/>
      <c r="D75" s="168">
        <v>7.8675496688741742</v>
      </c>
      <c r="E75" s="282"/>
      <c r="F75" s="168">
        <v>-5.9076262083780922</v>
      </c>
      <c r="G75" s="282"/>
      <c r="H75" s="205"/>
      <c r="I75" s="282"/>
      <c r="J75" s="168">
        <v>3.902993558165968</v>
      </c>
      <c r="K75" s="282"/>
      <c r="L75" s="205"/>
      <c r="M75" s="282"/>
    </row>
    <row r="76" spans="1:27" s="169" customFormat="1" ht="12.75" customHeight="1" x14ac:dyDescent="0.2">
      <c r="A76" s="342"/>
      <c r="B76" s="342"/>
      <c r="C76" s="342"/>
      <c r="D76" s="342"/>
      <c r="E76" s="342"/>
      <c r="F76" s="342"/>
      <c r="G76" s="342"/>
      <c r="H76" s="342"/>
      <c r="I76" s="342"/>
      <c r="J76" s="342"/>
      <c r="K76" s="342"/>
      <c r="L76" s="342"/>
      <c r="M76" s="342"/>
    </row>
    <row r="77" spans="1:27" s="169" customFormat="1" ht="28.5" customHeight="1" x14ac:dyDescent="0.2">
      <c r="A77" s="340" t="s">
        <v>248</v>
      </c>
      <c r="B77" s="340"/>
      <c r="C77" s="340"/>
      <c r="D77" s="340"/>
      <c r="E77" s="340"/>
      <c r="F77" s="340"/>
      <c r="G77" s="340"/>
      <c r="H77" s="340"/>
      <c r="I77" s="340"/>
      <c r="J77" s="340"/>
      <c r="K77" s="340"/>
      <c r="L77" s="340"/>
      <c r="M77" s="340"/>
    </row>
    <row r="78" spans="1:27" s="170" customFormat="1" ht="87.75" customHeight="1" x14ac:dyDescent="0.3">
      <c r="A78" s="340" t="s">
        <v>253</v>
      </c>
      <c r="B78" s="340"/>
      <c r="C78" s="340"/>
      <c r="D78" s="340"/>
      <c r="E78" s="340"/>
      <c r="F78" s="340"/>
      <c r="G78" s="340"/>
      <c r="H78" s="340"/>
      <c r="I78" s="340"/>
      <c r="J78" s="340"/>
      <c r="K78" s="340"/>
      <c r="L78" s="340"/>
      <c r="M78" s="340"/>
    </row>
    <row r="79" spans="1:27" s="171" customFormat="1" ht="15" x14ac:dyDescent="0.3">
      <c r="A79" s="345"/>
      <c r="B79" s="345"/>
      <c r="C79" s="345"/>
      <c r="D79" s="345"/>
      <c r="E79" s="345"/>
      <c r="F79" s="345"/>
      <c r="G79" s="345"/>
      <c r="H79" s="345"/>
      <c r="I79" s="345"/>
      <c r="J79" s="345"/>
      <c r="K79" s="345"/>
      <c r="L79" s="345"/>
      <c r="M79" s="345"/>
    </row>
    <row r="80" spans="1:27" s="171" customFormat="1" ht="27.75" customHeight="1" x14ac:dyDescent="0.3">
      <c r="A80" s="345"/>
      <c r="B80" s="345"/>
      <c r="C80" s="345"/>
      <c r="D80" s="345"/>
      <c r="E80" s="345"/>
      <c r="F80" s="345"/>
      <c r="G80" s="345"/>
      <c r="H80" s="345"/>
      <c r="I80" s="345"/>
      <c r="J80" s="345"/>
      <c r="K80" s="345"/>
      <c r="L80" s="345"/>
      <c r="M80" s="345"/>
    </row>
    <row r="81" spans="1:13" ht="12.75" customHeight="1" x14ac:dyDescent="0.3">
      <c r="A81" s="345"/>
      <c r="B81" s="345"/>
      <c r="C81" s="345"/>
      <c r="D81" s="345"/>
      <c r="E81" s="345"/>
      <c r="F81" s="345"/>
      <c r="G81" s="345"/>
      <c r="H81" s="345"/>
      <c r="I81" s="345"/>
      <c r="J81" s="345"/>
      <c r="K81" s="345"/>
      <c r="L81" s="345"/>
      <c r="M81" s="345"/>
    </row>
    <row r="82" spans="1:13" ht="12.75" customHeight="1" x14ac:dyDescent="0.3">
      <c r="A82" s="345"/>
      <c r="B82" s="345"/>
      <c r="C82" s="345"/>
      <c r="D82" s="345"/>
      <c r="E82" s="345"/>
      <c r="F82" s="345"/>
      <c r="G82" s="345"/>
      <c r="H82" s="345"/>
      <c r="I82" s="345"/>
      <c r="J82" s="345"/>
      <c r="K82" s="345"/>
      <c r="L82" s="345"/>
      <c r="M82" s="345"/>
    </row>
    <row r="83" spans="1:13" ht="12.75" customHeight="1" x14ac:dyDescent="0.3">
      <c r="A83" s="345"/>
      <c r="B83" s="345"/>
      <c r="C83" s="345"/>
      <c r="D83" s="345"/>
      <c r="E83" s="345"/>
      <c r="F83" s="345"/>
      <c r="G83" s="345"/>
      <c r="H83" s="345"/>
      <c r="I83" s="345"/>
      <c r="J83" s="345"/>
      <c r="K83" s="345"/>
      <c r="L83" s="345"/>
      <c r="M83" s="345"/>
    </row>
    <row r="84" spans="1:13" ht="12.75" customHeight="1" x14ac:dyDescent="0.3">
      <c r="A84" s="345"/>
      <c r="B84" s="345"/>
      <c r="C84" s="345"/>
      <c r="D84" s="345"/>
      <c r="E84" s="345"/>
      <c r="F84" s="345"/>
      <c r="G84" s="345"/>
      <c r="H84" s="345"/>
      <c r="I84" s="345"/>
      <c r="J84" s="345"/>
      <c r="K84" s="345"/>
      <c r="L84" s="345"/>
      <c r="M84" s="345"/>
    </row>
    <row r="85" spans="1:13" ht="12.75" customHeight="1" x14ac:dyDescent="0.3">
      <c r="A85" s="345"/>
      <c r="B85" s="345"/>
      <c r="C85" s="345"/>
      <c r="D85" s="345"/>
      <c r="E85" s="345"/>
      <c r="F85" s="345"/>
      <c r="G85" s="345"/>
      <c r="H85" s="345"/>
      <c r="I85" s="345"/>
      <c r="J85" s="345"/>
      <c r="K85" s="345"/>
      <c r="L85" s="345"/>
      <c r="M85" s="345"/>
    </row>
    <row r="86" spans="1:13" ht="12.75" customHeight="1" x14ac:dyDescent="0.3">
      <c r="A86" s="345"/>
      <c r="B86" s="345"/>
      <c r="C86" s="345"/>
      <c r="D86" s="345"/>
      <c r="E86" s="345"/>
      <c r="F86" s="345"/>
      <c r="G86" s="345"/>
      <c r="H86" s="345"/>
      <c r="I86" s="345"/>
      <c r="J86" s="345"/>
      <c r="K86" s="345"/>
      <c r="L86" s="345"/>
      <c r="M86" s="345"/>
    </row>
  </sheetData>
  <dataConsolidate/>
  <mergeCells count="20">
    <mergeCell ref="F4:I4"/>
    <mergeCell ref="D5:E7"/>
    <mergeCell ref="F5:M5"/>
    <mergeCell ref="F6:I6"/>
    <mergeCell ref="J6:M6"/>
    <mergeCell ref="A81:M81"/>
    <mergeCell ref="F7:G7"/>
    <mergeCell ref="H7:I7"/>
    <mergeCell ref="J7:K7"/>
    <mergeCell ref="L7:M7"/>
    <mergeCell ref="A76:M76"/>
    <mergeCell ref="A77:M77"/>
    <mergeCell ref="A78:M78"/>
    <mergeCell ref="A79:M79"/>
    <mergeCell ref="A80:M80"/>
    <mergeCell ref="A82:M82"/>
    <mergeCell ref="A83:M83"/>
    <mergeCell ref="A84:M84"/>
    <mergeCell ref="A85:M85"/>
    <mergeCell ref="A86:M86"/>
  </mergeCells>
  <conditionalFormatting sqref="A26:XFD26">
    <cfRule type="expression" dxfId="3" priority="4">
      <formula>AND($A24=2006,$B26="Q3")</formula>
    </cfRule>
  </conditionalFormatting>
  <conditionalFormatting sqref="A21:XFD21">
    <cfRule type="expression" dxfId="2" priority="3">
      <formula>AND($A19=2006,$B21="Q3")</formula>
    </cfRule>
  </conditionalFormatting>
  <conditionalFormatting sqref="A31:XFD31">
    <cfRule type="expression" dxfId="1" priority="2">
      <formula>AND($A29=2006,$B31="Q3")</formula>
    </cfRule>
  </conditionalFormatting>
  <conditionalFormatting sqref="A36:XFD36 A41:XFD41 A46:XFD46 A51:XFD51 A56:XFD56 A61:XFD61 A66:XFD66">
    <cfRule type="expression" dxfId="0" priority="1">
      <formula>AND($A34=2006,$B36="Q3")</formula>
    </cfRule>
  </conditionalFormatting>
  <hyperlinks>
    <hyperlink ref="A3" location="'Table Contents'!A1" display="Back to contents"/>
  </hyperlinks>
  <printOptions horizontalCentered="1" verticalCentered="1" gridLinesSet="0"/>
  <pageMargins left="0.19685039370078741" right="0.19685039370078741" top="0.19685039370078741" bottom="0.19685039370078741" header="0.39370078740157483" footer="0.39370078740157483"/>
  <pageSetup paperSize="9" scale="72" orientation="portrait" horizontalDpi="300" verticalDpi="4294967292"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AA85"/>
  <sheetViews>
    <sheetView showGridLines="0" zoomScaleNormal="100" workbookViewId="0">
      <pane xSplit="3" ySplit="7" topLeftCell="D8" activePane="bottomRight" state="frozen"/>
      <selection pane="topRight" activeCell="D1" sqref="D1"/>
      <selection pane="bottomLeft" activeCell="A8" sqref="A8"/>
      <selection pane="bottomRight" activeCell="D8" sqref="D8"/>
    </sheetView>
  </sheetViews>
  <sheetFormatPr defaultColWidth="8.85546875" defaultRowHeight="12.75" customHeight="1" x14ac:dyDescent="0.3"/>
  <cols>
    <col min="1" max="1" width="7.42578125" style="131" customWidth="1"/>
    <col min="2" max="2" width="4.85546875" style="131" customWidth="1"/>
    <col min="3" max="3" width="4.85546875" style="174" customWidth="1"/>
    <col min="4" max="4" width="12.7109375" style="172" customWidth="1"/>
    <col min="5" max="5" width="3.85546875" style="174" customWidth="1"/>
    <col min="6" max="6" width="9.28515625" style="172" customWidth="1"/>
    <col min="7" max="7" width="3.85546875" style="174" customWidth="1"/>
    <col min="8" max="8" width="8.7109375" style="172" bestFit="1" customWidth="1"/>
    <col min="9" max="9" width="3.85546875" style="174" customWidth="1"/>
    <col min="10" max="10" width="8.85546875" style="134"/>
    <col min="11" max="11" width="9" style="134" customWidth="1"/>
    <col min="12" max="16384" width="8.85546875" style="134"/>
  </cols>
  <sheetData>
    <row r="1" spans="1:14" ht="12.75" customHeight="1" x14ac:dyDescent="0.3">
      <c r="B1" s="132"/>
      <c r="C1" s="133"/>
      <c r="D1" s="132"/>
      <c r="E1" s="133"/>
      <c r="F1" s="132"/>
      <c r="G1" s="133"/>
      <c r="H1" s="132"/>
      <c r="I1" s="133"/>
    </row>
    <row r="2" spans="1:14" s="136" customFormat="1" ht="42" customHeight="1" x14ac:dyDescent="0.3">
      <c r="A2" s="193" t="s">
        <v>202</v>
      </c>
      <c r="B2" s="194"/>
      <c r="C2" s="194"/>
      <c r="D2" s="357" t="s">
        <v>256</v>
      </c>
      <c r="E2" s="357"/>
      <c r="F2" s="357"/>
      <c r="G2" s="357"/>
      <c r="H2" s="357"/>
      <c r="I2" s="357"/>
      <c r="J2" s="357"/>
      <c r="K2" s="357"/>
      <c r="L2" s="132"/>
    </row>
    <row r="3" spans="1:14" s="136" customFormat="1" ht="19.5" x14ac:dyDescent="0.3">
      <c r="A3" s="196" t="s">
        <v>154</v>
      </c>
      <c r="B3" s="197"/>
      <c r="C3" s="214"/>
      <c r="D3" s="198" t="s">
        <v>403</v>
      </c>
      <c r="E3" s="289"/>
      <c r="F3" s="188"/>
      <c r="G3" s="283"/>
      <c r="H3" s="188"/>
      <c r="I3" s="283"/>
      <c r="J3" s="132"/>
      <c r="K3" s="132"/>
      <c r="L3" s="132"/>
    </row>
    <row r="4" spans="1:14" ht="10.5" customHeight="1" thickBot="1" x14ac:dyDescent="0.35">
      <c r="A4" s="137"/>
      <c r="B4" s="137"/>
      <c r="C4" s="215"/>
      <c r="D4" s="137"/>
      <c r="E4" s="215"/>
      <c r="F4" s="137"/>
      <c r="G4" s="215"/>
      <c r="H4" s="137"/>
      <c r="I4" s="215"/>
    </row>
    <row r="5" spans="1:14" ht="30.75" customHeight="1" thickBot="1" x14ac:dyDescent="0.35">
      <c r="A5" s="138"/>
      <c r="B5" s="138"/>
      <c r="C5" s="216"/>
      <c r="D5" s="348" t="s">
        <v>182</v>
      </c>
      <c r="E5" s="348"/>
      <c r="F5" s="348"/>
      <c r="G5" s="348"/>
      <c r="H5" s="348"/>
      <c r="I5" s="348"/>
    </row>
    <row r="6" spans="1:14" s="141" customFormat="1" ht="45" customHeight="1" x14ac:dyDescent="0.3">
      <c r="A6" s="139"/>
      <c r="B6" s="140" t="s">
        <v>140</v>
      </c>
      <c r="C6" s="226"/>
      <c r="D6" s="355" t="s">
        <v>124</v>
      </c>
      <c r="E6" s="355"/>
      <c r="F6" s="352" t="s">
        <v>183</v>
      </c>
      <c r="G6" s="352"/>
      <c r="H6" s="352"/>
      <c r="I6" s="352"/>
    </row>
    <row r="7" spans="1:14" s="142" customFormat="1" ht="19.5" customHeight="1" thickBot="1" x14ac:dyDescent="0.35">
      <c r="A7" s="229" t="s">
        <v>141</v>
      </c>
      <c r="B7" s="230" t="s">
        <v>140</v>
      </c>
      <c r="C7" s="230"/>
      <c r="D7" s="356"/>
      <c r="E7" s="356"/>
      <c r="F7" s="353" t="s">
        <v>184</v>
      </c>
      <c r="G7" s="353"/>
      <c r="H7" s="353" t="s">
        <v>178</v>
      </c>
      <c r="I7" s="353"/>
    </row>
    <row r="8" spans="1:14" s="146" customFormat="1" ht="12.75" customHeight="1" x14ac:dyDescent="0.25">
      <c r="A8" s="143">
        <v>2007</v>
      </c>
      <c r="B8" s="143"/>
      <c r="C8" s="213"/>
      <c r="D8" s="144">
        <v>64480</v>
      </c>
      <c r="E8" s="145" t="s">
        <v>508</v>
      </c>
      <c r="F8" s="144">
        <v>13262</v>
      </c>
      <c r="G8" s="145" t="s">
        <v>508</v>
      </c>
      <c r="H8" s="199">
        <v>20.567617866004966</v>
      </c>
      <c r="I8" s="145" t="s">
        <v>508</v>
      </c>
    </row>
    <row r="9" spans="1:14" s="146" customFormat="1" ht="12.75" customHeight="1" x14ac:dyDescent="0.25">
      <c r="A9" s="143">
        <v>2008</v>
      </c>
      <c r="B9" s="143"/>
      <c r="C9" s="213"/>
      <c r="D9" s="144">
        <v>67428</v>
      </c>
      <c r="E9" s="145" t="s">
        <v>508</v>
      </c>
      <c r="F9" s="144">
        <v>13856</v>
      </c>
      <c r="G9" s="145" t="s">
        <v>508</v>
      </c>
      <c r="H9" s="199">
        <v>20.549326689209231</v>
      </c>
      <c r="I9" s="145" t="s">
        <v>508</v>
      </c>
    </row>
    <row r="10" spans="1:14" s="146" customFormat="1" ht="12.75" customHeight="1" x14ac:dyDescent="0.25">
      <c r="A10" s="143">
        <v>2009</v>
      </c>
      <c r="B10" s="143"/>
      <c r="C10" s="213"/>
      <c r="D10" s="144">
        <v>74671</v>
      </c>
      <c r="E10" s="145" t="s">
        <v>508</v>
      </c>
      <c r="F10" s="144">
        <v>15657</v>
      </c>
      <c r="G10" s="145" t="s">
        <v>508</v>
      </c>
      <c r="H10" s="199">
        <v>20.967979536901876</v>
      </c>
      <c r="I10" s="145" t="s">
        <v>508</v>
      </c>
    </row>
    <row r="11" spans="1:14" s="146" customFormat="1" ht="12.75" customHeight="1" x14ac:dyDescent="0.25">
      <c r="A11" s="143">
        <v>2010</v>
      </c>
      <c r="B11" s="143"/>
      <c r="C11" s="213"/>
      <c r="D11" s="144">
        <v>59173</v>
      </c>
      <c r="E11" s="145" t="s">
        <v>508</v>
      </c>
      <c r="F11" s="144">
        <v>12125</v>
      </c>
      <c r="G11" s="145" t="s">
        <v>508</v>
      </c>
      <c r="H11" s="199">
        <v>20.490764368884456</v>
      </c>
      <c r="I11" s="145" t="s">
        <v>508</v>
      </c>
    </row>
    <row r="12" spans="1:14" s="146" customFormat="1" ht="12.75" customHeight="1" x14ac:dyDescent="0.25">
      <c r="A12" s="143">
        <v>2011</v>
      </c>
      <c r="B12" s="143"/>
      <c r="C12" s="213"/>
      <c r="D12" s="144">
        <v>41875.999999999942</v>
      </c>
      <c r="E12" s="145" t="s">
        <v>508</v>
      </c>
      <c r="F12" s="144">
        <v>9708.0000000000018</v>
      </c>
      <c r="G12" s="145" t="s">
        <v>508</v>
      </c>
      <c r="H12" s="199">
        <v>23.182729964657597</v>
      </c>
      <c r="I12" s="145" t="s">
        <v>508</v>
      </c>
    </row>
    <row r="13" spans="1:14" s="146" customFormat="1" ht="12.75" customHeight="1" x14ac:dyDescent="0.25">
      <c r="A13" s="143">
        <v>2012</v>
      </c>
      <c r="B13" s="143"/>
      <c r="C13" s="213"/>
      <c r="D13" s="144">
        <v>31787.000000000011</v>
      </c>
      <c r="E13" s="145" t="s">
        <v>508</v>
      </c>
      <c r="F13" s="144">
        <v>6416</v>
      </c>
      <c r="G13" s="145" t="s">
        <v>508</v>
      </c>
      <c r="H13" s="199">
        <v>20.184352093623172</v>
      </c>
      <c r="I13" s="145" t="s">
        <v>508</v>
      </c>
    </row>
    <row r="14" spans="1:14" s="146" customFormat="1" ht="12.75" customHeight="1" x14ac:dyDescent="0.25">
      <c r="A14" s="143">
        <v>2013</v>
      </c>
      <c r="B14" s="143"/>
      <c r="C14" s="213"/>
      <c r="D14" s="144">
        <v>24570.999999999993</v>
      </c>
      <c r="E14" s="145" t="s">
        <v>508</v>
      </c>
      <c r="F14" s="144">
        <v>4487.00000000001</v>
      </c>
      <c r="G14" s="145" t="s">
        <v>508</v>
      </c>
      <c r="H14" s="199">
        <v>18.261365023808601</v>
      </c>
      <c r="I14" s="145" t="s">
        <v>508</v>
      </c>
    </row>
    <row r="15" spans="1:14" s="146" customFormat="1" ht="12.75" customHeight="1" x14ac:dyDescent="0.25">
      <c r="A15" s="143">
        <v>2014</v>
      </c>
      <c r="B15" s="143"/>
      <c r="C15" s="213"/>
      <c r="D15" s="144">
        <v>20345</v>
      </c>
      <c r="E15" s="145" t="s">
        <v>508</v>
      </c>
      <c r="F15" s="144">
        <v>3480.0000000000018</v>
      </c>
      <c r="G15" s="145" t="s">
        <v>508</v>
      </c>
      <c r="H15" s="199">
        <v>17.104939788645869</v>
      </c>
      <c r="I15" s="145" t="s">
        <v>508</v>
      </c>
    </row>
    <row r="16" spans="1:14" s="146" customFormat="1" ht="12.75" customHeight="1" x14ac:dyDescent="0.25">
      <c r="A16" s="143">
        <v>2015</v>
      </c>
      <c r="B16" s="143"/>
      <c r="C16" s="213"/>
      <c r="D16" s="144">
        <v>15844.999999999991</v>
      </c>
      <c r="E16" s="145" t="s">
        <v>508</v>
      </c>
      <c r="F16" s="144">
        <v>2479</v>
      </c>
      <c r="G16" s="145" t="s">
        <v>508</v>
      </c>
      <c r="H16" s="199">
        <v>15.645313979173251</v>
      </c>
      <c r="I16" s="145" t="s">
        <v>508</v>
      </c>
      <c r="N16" s="147"/>
    </row>
    <row r="17" spans="1:9" s="146" customFormat="1" ht="12.75" customHeight="1" x14ac:dyDescent="0.25">
      <c r="A17" s="143">
        <v>2016</v>
      </c>
      <c r="B17" s="213" t="s">
        <v>508</v>
      </c>
      <c r="D17" s="144">
        <v>15006.000000000009</v>
      </c>
      <c r="E17" s="145" t="s">
        <v>280</v>
      </c>
      <c r="F17" s="144" t="s">
        <v>67</v>
      </c>
      <c r="G17" s="145" t="s">
        <v>508</v>
      </c>
      <c r="H17" s="199" t="s">
        <v>67</v>
      </c>
      <c r="I17" s="145" t="s">
        <v>508</v>
      </c>
    </row>
    <row r="18" spans="1:9" s="142" customFormat="1" ht="12.75" customHeight="1" x14ac:dyDescent="0.25">
      <c r="A18" s="148"/>
      <c r="B18" s="148"/>
      <c r="C18" s="218"/>
      <c r="D18" s="149"/>
      <c r="E18" s="154"/>
      <c r="F18" s="149"/>
      <c r="G18" s="154"/>
      <c r="H18" s="200"/>
      <c r="I18" s="154"/>
    </row>
    <row r="19" spans="1:9" s="142" customFormat="1" ht="12.75" customHeight="1" x14ac:dyDescent="0.25">
      <c r="A19" s="151">
        <v>2007</v>
      </c>
      <c r="B19" s="152" t="s">
        <v>1</v>
      </c>
      <c r="C19" s="219"/>
      <c r="D19" s="153">
        <v>16742</v>
      </c>
      <c r="E19" s="154" t="s">
        <v>508</v>
      </c>
      <c r="F19" s="153">
        <v>3425.7647719752399</v>
      </c>
      <c r="G19" s="154" t="s">
        <v>508</v>
      </c>
      <c r="H19" s="155">
        <v>20.462099940122087</v>
      </c>
      <c r="I19" s="154" t="s">
        <v>508</v>
      </c>
    </row>
    <row r="20" spans="1:9" s="142" customFormat="1" ht="12.75" customHeight="1" x14ac:dyDescent="0.25">
      <c r="A20" s="151"/>
      <c r="B20" s="152" t="s">
        <v>2</v>
      </c>
      <c r="C20" s="219"/>
      <c r="D20" s="153">
        <v>16493</v>
      </c>
      <c r="E20" s="154" t="s">
        <v>508</v>
      </c>
      <c r="F20" s="153">
        <v>3465.6695350324999</v>
      </c>
      <c r="G20" s="154" t="s">
        <v>508</v>
      </c>
      <c r="H20" s="155">
        <v>21.012972382419814</v>
      </c>
      <c r="I20" s="154" t="s">
        <v>508</v>
      </c>
    </row>
    <row r="21" spans="1:9" s="142" customFormat="1" ht="12.75" customHeight="1" x14ac:dyDescent="0.25">
      <c r="A21" s="151"/>
      <c r="B21" s="152" t="s">
        <v>3</v>
      </c>
      <c r="C21" s="219"/>
      <c r="D21" s="153">
        <v>15934</v>
      </c>
      <c r="E21" s="154" t="s">
        <v>508</v>
      </c>
      <c r="F21" s="153">
        <v>3239.7251498333399</v>
      </c>
      <c r="G21" s="154" t="s">
        <v>508</v>
      </c>
      <c r="H21" s="155">
        <v>20.332152314756748</v>
      </c>
      <c r="I21" s="154" t="s">
        <v>508</v>
      </c>
    </row>
    <row r="22" spans="1:9" s="142" customFormat="1" ht="12.75" customHeight="1" x14ac:dyDescent="0.25">
      <c r="A22" s="151"/>
      <c r="B22" s="152" t="s">
        <v>4</v>
      </c>
      <c r="C22" s="219"/>
      <c r="D22" s="153">
        <v>15311</v>
      </c>
      <c r="E22" s="154" t="s">
        <v>508</v>
      </c>
      <c r="F22" s="153">
        <v>3130.8405431589199</v>
      </c>
      <c r="G22" s="154" t="s">
        <v>508</v>
      </c>
      <c r="H22" s="155">
        <v>20.448308687603163</v>
      </c>
      <c r="I22" s="154" t="s">
        <v>508</v>
      </c>
    </row>
    <row r="23" spans="1:9" s="142" customFormat="1" ht="12.75" customHeight="1" x14ac:dyDescent="0.25">
      <c r="A23" s="151"/>
      <c r="B23" s="152"/>
      <c r="C23" s="219"/>
      <c r="D23" s="153"/>
      <c r="E23" s="154"/>
      <c r="F23" s="153"/>
      <c r="G23" s="154"/>
      <c r="H23" s="155"/>
      <c r="I23" s="154"/>
    </row>
    <row r="24" spans="1:9" s="142" customFormat="1" ht="12.75" customHeight="1" x14ac:dyDescent="0.25">
      <c r="A24" s="151">
        <v>2008</v>
      </c>
      <c r="B24" s="152" t="s">
        <v>1</v>
      </c>
      <c r="C24" s="219"/>
      <c r="D24" s="153">
        <v>15482</v>
      </c>
      <c r="E24" s="154" t="s">
        <v>508</v>
      </c>
      <c r="F24" s="153">
        <v>3229.6674730105201</v>
      </c>
      <c r="G24" s="154" t="s">
        <v>508</v>
      </c>
      <c r="H24" s="155">
        <v>20.86078977529079</v>
      </c>
      <c r="I24" s="154" t="s">
        <v>508</v>
      </c>
    </row>
    <row r="25" spans="1:9" s="142" customFormat="1" ht="12.75" customHeight="1" x14ac:dyDescent="0.25">
      <c r="A25" s="151"/>
      <c r="B25" s="152" t="s">
        <v>2</v>
      </c>
      <c r="C25" s="219"/>
      <c r="D25" s="153">
        <v>15536</v>
      </c>
      <c r="E25" s="154" t="s">
        <v>508</v>
      </c>
      <c r="F25" s="153">
        <v>3186.7569879152702</v>
      </c>
      <c r="G25" s="154" t="s">
        <v>508</v>
      </c>
      <c r="H25" s="155">
        <v>20.512081539104468</v>
      </c>
      <c r="I25" s="154" t="s">
        <v>508</v>
      </c>
    </row>
    <row r="26" spans="1:9" s="142" customFormat="1" ht="12.75" customHeight="1" x14ac:dyDescent="0.25">
      <c r="A26" s="151"/>
      <c r="B26" s="152" t="s">
        <v>3</v>
      </c>
      <c r="C26" s="219"/>
      <c r="D26" s="153">
        <v>17474</v>
      </c>
      <c r="E26" s="154" t="s">
        <v>508</v>
      </c>
      <c r="F26" s="153">
        <v>3698.2514712075799</v>
      </c>
      <c r="G26" s="154" t="s">
        <v>508</v>
      </c>
      <c r="H26" s="155">
        <v>21.164309666977108</v>
      </c>
      <c r="I26" s="154" t="s">
        <v>508</v>
      </c>
    </row>
    <row r="27" spans="1:9" s="142" customFormat="1" ht="12.75" customHeight="1" x14ac:dyDescent="0.25">
      <c r="A27" s="151"/>
      <c r="B27" s="152" t="s">
        <v>4</v>
      </c>
      <c r="C27" s="219"/>
      <c r="D27" s="153">
        <v>18936</v>
      </c>
      <c r="E27" s="154" t="s">
        <v>508</v>
      </c>
      <c r="F27" s="153">
        <v>3741.3240678666298</v>
      </c>
      <c r="G27" s="154" t="s">
        <v>508</v>
      </c>
      <c r="H27" s="155">
        <v>19.757731663849967</v>
      </c>
      <c r="I27" s="154" t="s">
        <v>508</v>
      </c>
    </row>
    <row r="28" spans="1:9" s="142" customFormat="1" ht="12.75" customHeight="1" x14ac:dyDescent="0.25">
      <c r="A28" s="151"/>
      <c r="B28" s="152"/>
      <c r="C28" s="219"/>
      <c r="D28" s="153"/>
      <c r="E28" s="154"/>
      <c r="F28" s="153"/>
      <c r="G28" s="154"/>
      <c r="H28" s="155"/>
      <c r="I28" s="154"/>
    </row>
    <row r="29" spans="1:9" s="142" customFormat="1" ht="12.75" customHeight="1" x14ac:dyDescent="0.25">
      <c r="A29" s="151">
        <v>2009</v>
      </c>
      <c r="B29" s="152" t="s">
        <v>1</v>
      </c>
      <c r="C29" s="219"/>
      <c r="D29" s="153">
        <v>18958</v>
      </c>
      <c r="E29" s="154" t="s">
        <v>508</v>
      </c>
      <c r="F29" s="153">
        <v>3691.8049589393199</v>
      </c>
      <c r="G29" s="154" t="s">
        <v>508</v>
      </c>
      <c r="H29" s="155">
        <v>19.473599319228398</v>
      </c>
      <c r="I29" s="154" t="s">
        <v>508</v>
      </c>
    </row>
    <row r="30" spans="1:9" s="142" customFormat="1" ht="12.75" customHeight="1" x14ac:dyDescent="0.25">
      <c r="A30" s="151"/>
      <c r="B30" s="152" t="s">
        <v>2</v>
      </c>
      <c r="C30" s="219"/>
      <c r="D30" s="153">
        <v>19121</v>
      </c>
      <c r="E30" s="154" t="s">
        <v>508</v>
      </c>
      <c r="F30" s="153">
        <v>4080.8036649232799</v>
      </c>
      <c r="G30" s="154" t="s">
        <v>508</v>
      </c>
      <c r="H30" s="155">
        <v>21.341999188971705</v>
      </c>
      <c r="I30" s="154" t="s">
        <v>508</v>
      </c>
    </row>
    <row r="31" spans="1:9" s="142" customFormat="1" ht="12.75" customHeight="1" x14ac:dyDescent="0.25">
      <c r="A31" s="151"/>
      <c r="B31" s="152" t="s">
        <v>3</v>
      </c>
      <c r="C31" s="219"/>
      <c r="D31" s="153">
        <v>18659</v>
      </c>
      <c r="E31" s="154" t="s">
        <v>508</v>
      </c>
      <c r="F31" s="153">
        <v>4143.5638566929301</v>
      </c>
      <c r="G31" s="154" t="s">
        <v>508</v>
      </c>
      <c r="H31" s="155">
        <v>22.206784161492738</v>
      </c>
      <c r="I31" s="154" t="s">
        <v>508</v>
      </c>
    </row>
    <row r="32" spans="1:9" s="142" customFormat="1" ht="12.75" customHeight="1" x14ac:dyDescent="0.25">
      <c r="A32" s="151"/>
      <c r="B32" s="152" t="s">
        <v>4</v>
      </c>
      <c r="C32" s="219"/>
      <c r="D32" s="153">
        <v>17933</v>
      </c>
      <c r="E32" s="154" t="s">
        <v>508</v>
      </c>
      <c r="F32" s="153">
        <v>3740.82751944447</v>
      </c>
      <c r="G32" s="154" t="s">
        <v>508</v>
      </c>
      <c r="H32" s="155">
        <v>20.86002074078219</v>
      </c>
      <c r="I32" s="154" t="s">
        <v>508</v>
      </c>
    </row>
    <row r="33" spans="1:9" s="142" customFormat="1" ht="12.75" customHeight="1" x14ac:dyDescent="0.25">
      <c r="A33" s="151"/>
      <c r="B33" s="152"/>
      <c r="C33" s="219"/>
      <c r="D33" s="153"/>
      <c r="E33" s="154"/>
      <c r="F33" s="153"/>
      <c r="G33" s="154"/>
      <c r="H33" s="155"/>
      <c r="I33" s="154"/>
    </row>
    <row r="34" spans="1:9" s="142" customFormat="1" ht="12.75" customHeight="1" x14ac:dyDescent="0.25">
      <c r="A34" s="151">
        <v>2010</v>
      </c>
      <c r="B34" s="152" t="s">
        <v>1</v>
      </c>
      <c r="C34" s="219"/>
      <c r="D34" s="153">
        <v>17058</v>
      </c>
      <c r="E34" s="154" t="s">
        <v>508</v>
      </c>
      <c r="F34" s="153">
        <v>3697.14879970223</v>
      </c>
      <c r="G34" s="154" t="s">
        <v>508</v>
      </c>
      <c r="H34" s="155">
        <v>21.673987570068178</v>
      </c>
      <c r="I34" s="154" t="s">
        <v>508</v>
      </c>
    </row>
    <row r="35" spans="1:9" s="142" customFormat="1" ht="12.75" customHeight="1" x14ac:dyDescent="0.25">
      <c r="A35" s="151"/>
      <c r="B35" s="152" t="s">
        <v>2</v>
      </c>
      <c r="C35" s="219"/>
      <c r="D35" s="153">
        <v>15256</v>
      </c>
      <c r="E35" s="154" t="s">
        <v>508</v>
      </c>
      <c r="F35" s="153">
        <v>3395.74984812821</v>
      </c>
      <c r="G35" s="154" t="s">
        <v>508</v>
      </c>
      <c r="H35" s="155">
        <v>22.258454694075837</v>
      </c>
      <c r="I35" s="154" t="s">
        <v>508</v>
      </c>
    </row>
    <row r="36" spans="1:9" s="142" customFormat="1" ht="12.75" customHeight="1" x14ac:dyDescent="0.25">
      <c r="A36" s="151"/>
      <c r="B36" s="152" t="s">
        <v>3</v>
      </c>
      <c r="C36" s="219"/>
      <c r="D36" s="153">
        <v>14155</v>
      </c>
      <c r="E36" s="154" t="s">
        <v>508</v>
      </c>
      <c r="F36" s="153">
        <v>2838.7275177281399</v>
      </c>
      <c r="G36" s="154" t="s">
        <v>508</v>
      </c>
      <c r="H36" s="155">
        <v>20.054592142198089</v>
      </c>
      <c r="I36" s="154" t="s">
        <v>508</v>
      </c>
    </row>
    <row r="37" spans="1:9" s="142" customFormat="1" ht="12.75" customHeight="1" x14ac:dyDescent="0.25">
      <c r="A37" s="151"/>
      <c r="B37" s="152" t="s">
        <v>4</v>
      </c>
      <c r="C37" s="219"/>
      <c r="D37" s="153">
        <v>12704</v>
      </c>
      <c r="E37" s="154" t="s">
        <v>508</v>
      </c>
      <c r="F37" s="153">
        <v>2193.3738344414201</v>
      </c>
      <c r="G37" s="154" t="s">
        <v>508</v>
      </c>
      <c r="H37" s="155">
        <v>17.265222248436871</v>
      </c>
      <c r="I37" s="154" t="s">
        <v>508</v>
      </c>
    </row>
    <row r="38" spans="1:9" s="142" customFormat="1" ht="12.75" customHeight="1" x14ac:dyDescent="0.25">
      <c r="A38" s="151"/>
      <c r="B38" s="152"/>
      <c r="C38" s="219"/>
      <c r="D38" s="153"/>
      <c r="E38" s="154"/>
      <c r="F38" s="153"/>
      <c r="G38" s="154"/>
      <c r="H38" s="155"/>
      <c r="I38" s="154"/>
    </row>
    <row r="39" spans="1:9" s="142" customFormat="1" ht="12.75" customHeight="1" x14ac:dyDescent="0.25">
      <c r="A39" s="151">
        <v>2011</v>
      </c>
      <c r="B39" s="152" t="s">
        <v>1</v>
      </c>
      <c r="C39" s="219"/>
      <c r="D39" s="153">
        <v>11760.3355733227</v>
      </c>
      <c r="E39" s="154" t="s">
        <v>508</v>
      </c>
      <c r="F39" s="153">
        <v>2550.5472966777702</v>
      </c>
      <c r="G39" s="154" t="s">
        <v>508</v>
      </c>
      <c r="H39" s="155">
        <v>21.687708490763352</v>
      </c>
      <c r="I39" s="154" t="s">
        <v>508</v>
      </c>
    </row>
    <row r="40" spans="1:9" s="142" customFormat="1" ht="12.75" customHeight="1" x14ac:dyDescent="0.25">
      <c r="A40" s="151"/>
      <c r="B40" s="152" t="s">
        <v>2</v>
      </c>
      <c r="C40" s="219"/>
      <c r="D40" s="153">
        <v>11304.9546410033</v>
      </c>
      <c r="E40" s="154" t="s">
        <v>508</v>
      </c>
      <c r="F40" s="153">
        <v>2484.1878581020701</v>
      </c>
      <c r="G40" s="154" t="s">
        <v>508</v>
      </c>
      <c r="H40" s="155">
        <v>21.974328398380923</v>
      </c>
      <c r="I40" s="154" t="s">
        <v>508</v>
      </c>
    </row>
    <row r="41" spans="1:9" s="142" customFormat="1" ht="12.75" customHeight="1" x14ac:dyDescent="0.25">
      <c r="A41" s="151"/>
      <c r="B41" s="152" t="s">
        <v>3</v>
      </c>
      <c r="C41" s="219"/>
      <c r="D41" s="153">
        <v>9689.7918014033694</v>
      </c>
      <c r="E41" s="154" t="s">
        <v>508</v>
      </c>
      <c r="F41" s="153">
        <v>2345.88077042961</v>
      </c>
      <c r="G41" s="154" t="s">
        <v>508</v>
      </c>
      <c r="H41" s="155">
        <v>24.209816046716885</v>
      </c>
      <c r="I41" s="154" t="s">
        <v>508</v>
      </c>
    </row>
    <row r="42" spans="1:9" s="142" customFormat="1" ht="12.75" customHeight="1" x14ac:dyDescent="0.25">
      <c r="A42" s="151"/>
      <c r="B42" s="152" t="s">
        <v>4</v>
      </c>
      <c r="C42" s="219"/>
      <c r="D42" s="153">
        <v>9120.9179842705707</v>
      </c>
      <c r="E42" s="154" t="s">
        <v>508</v>
      </c>
      <c r="F42" s="153">
        <v>2327.3840747905501</v>
      </c>
      <c r="G42" s="154" t="s">
        <v>508</v>
      </c>
      <c r="H42" s="155">
        <v>25.516993780716234</v>
      </c>
      <c r="I42" s="154" t="s">
        <v>508</v>
      </c>
    </row>
    <row r="43" spans="1:9" s="142" customFormat="1" ht="12.75" customHeight="1" x14ac:dyDescent="0.25">
      <c r="A43" s="151"/>
      <c r="B43" s="152"/>
      <c r="C43" s="219"/>
      <c r="D43" s="153"/>
      <c r="E43" s="154"/>
      <c r="F43" s="153"/>
      <c r="G43" s="154"/>
      <c r="H43" s="155"/>
      <c r="I43" s="154"/>
    </row>
    <row r="44" spans="1:9" s="142" customFormat="1" ht="12.75" customHeight="1" x14ac:dyDescent="0.25">
      <c r="A44" s="151">
        <v>2012</v>
      </c>
      <c r="B44" s="152" t="s">
        <v>1</v>
      </c>
      <c r="C44" s="219"/>
      <c r="D44" s="153">
        <v>8649.6575586789295</v>
      </c>
      <c r="E44" s="154" t="s">
        <v>508</v>
      </c>
      <c r="F44" s="153">
        <v>1914.4602434213</v>
      </c>
      <c r="G44" s="154" t="s">
        <v>508</v>
      </c>
      <c r="H44" s="155">
        <v>22.133364591993136</v>
      </c>
      <c r="I44" s="154" t="s">
        <v>508</v>
      </c>
    </row>
    <row r="45" spans="1:9" s="142" customFormat="1" ht="12.75" customHeight="1" x14ac:dyDescent="0.25">
      <c r="A45" s="151"/>
      <c r="B45" s="152" t="s">
        <v>2</v>
      </c>
      <c r="C45" s="219"/>
      <c r="D45" s="153">
        <v>8158.4626641561499</v>
      </c>
      <c r="E45" s="154" t="s">
        <v>508</v>
      </c>
      <c r="F45" s="153">
        <v>1560.83983188703</v>
      </c>
      <c r="G45" s="154" t="s">
        <v>508</v>
      </c>
      <c r="H45" s="155">
        <v>19.131543479931725</v>
      </c>
      <c r="I45" s="154" t="s">
        <v>508</v>
      </c>
    </row>
    <row r="46" spans="1:9" s="142" customFormat="1" ht="12.75" customHeight="1" x14ac:dyDescent="0.25">
      <c r="A46" s="151"/>
      <c r="B46" s="152" t="s">
        <v>3</v>
      </c>
      <c r="C46" s="219"/>
      <c r="D46" s="153">
        <v>7680.8327716182102</v>
      </c>
      <c r="E46" s="154" t="s">
        <v>508</v>
      </c>
      <c r="F46" s="153">
        <v>1534.45428401965</v>
      </c>
      <c r="G46" s="154" t="s">
        <v>508</v>
      </c>
      <c r="H46" s="155">
        <v>19.977707231039854</v>
      </c>
      <c r="I46" s="154" t="s">
        <v>508</v>
      </c>
    </row>
    <row r="47" spans="1:9" s="142" customFormat="1" ht="12.75" customHeight="1" x14ac:dyDescent="0.25">
      <c r="A47" s="151"/>
      <c r="B47" s="152" t="s">
        <v>4</v>
      </c>
      <c r="C47" s="219"/>
      <c r="D47" s="153">
        <v>7298.0470055467204</v>
      </c>
      <c r="E47" s="154" t="s">
        <v>508</v>
      </c>
      <c r="F47" s="153">
        <v>1406.24564067202</v>
      </c>
      <c r="G47" s="154" t="s">
        <v>508</v>
      </c>
      <c r="H47" s="155">
        <v>19.268793960949196</v>
      </c>
      <c r="I47" s="154" t="s">
        <v>508</v>
      </c>
    </row>
    <row r="48" spans="1:9" s="142" customFormat="1" ht="12.75" customHeight="1" x14ac:dyDescent="0.25">
      <c r="A48" s="151"/>
      <c r="B48" s="152"/>
      <c r="C48" s="219"/>
      <c r="D48" s="153"/>
      <c r="E48" s="154"/>
      <c r="F48" s="153"/>
      <c r="G48" s="154"/>
      <c r="H48" s="155"/>
      <c r="I48" s="154"/>
    </row>
    <row r="49" spans="1:9" s="142" customFormat="1" ht="12.75" customHeight="1" x14ac:dyDescent="0.25">
      <c r="A49" s="151">
        <v>2013</v>
      </c>
      <c r="B49" s="152" t="s">
        <v>1</v>
      </c>
      <c r="C49" s="219"/>
      <c r="D49" s="153">
        <v>6615.4911052341704</v>
      </c>
      <c r="E49" s="154" t="s">
        <v>508</v>
      </c>
      <c r="F49" s="153">
        <v>1215.4679717829999</v>
      </c>
      <c r="G49" s="154" t="s">
        <v>508</v>
      </c>
      <c r="H49" s="155">
        <v>18.373057305168512</v>
      </c>
      <c r="I49" s="154" t="s">
        <v>508</v>
      </c>
    </row>
    <row r="50" spans="1:9" s="142" customFormat="1" ht="12.75" customHeight="1" x14ac:dyDescent="0.25">
      <c r="A50" s="151"/>
      <c r="B50" s="152" t="s">
        <v>2</v>
      </c>
      <c r="C50" s="219"/>
      <c r="D50" s="153">
        <v>6224.7030856189003</v>
      </c>
      <c r="E50" s="154" t="s">
        <v>508</v>
      </c>
      <c r="F50" s="153">
        <v>1159.2870028105399</v>
      </c>
      <c r="G50" s="154" t="s">
        <v>508</v>
      </c>
      <c r="H50" s="155">
        <v>18.623972691787856</v>
      </c>
      <c r="I50" s="154" t="s">
        <v>508</v>
      </c>
    </row>
    <row r="51" spans="1:9" s="142" customFormat="1" ht="12.75" customHeight="1" x14ac:dyDescent="0.25">
      <c r="A51" s="151"/>
      <c r="B51" s="152" t="s">
        <v>3</v>
      </c>
      <c r="C51" s="219"/>
      <c r="D51" s="153">
        <v>6017.9559364115403</v>
      </c>
      <c r="E51" s="154" t="s">
        <v>508</v>
      </c>
      <c r="F51" s="153">
        <v>1064.17866835717</v>
      </c>
      <c r="G51" s="154" t="s">
        <v>508</v>
      </c>
      <c r="H51" s="155">
        <v>17.683390832398342</v>
      </c>
      <c r="I51" s="154" t="s">
        <v>508</v>
      </c>
    </row>
    <row r="52" spans="1:9" s="142" customFormat="1" ht="12.75" customHeight="1" x14ac:dyDescent="0.25">
      <c r="A52" s="151"/>
      <c r="B52" s="152" t="s">
        <v>4</v>
      </c>
      <c r="C52" s="219"/>
      <c r="D52" s="153">
        <v>5712.8498727353799</v>
      </c>
      <c r="E52" s="154" t="s">
        <v>508</v>
      </c>
      <c r="F52" s="153">
        <v>1048.0663570493</v>
      </c>
      <c r="G52" s="154" t="s">
        <v>508</v>
      </c>
      <c r="H52" s="155">
        <v>18.345771031918844</v>
      </c>
      <c r="I52" s="154" t="s">
        <v>508</v>
      </c>
    </row>
    <row r="53" spans="1:9" s="142" customFormat="1" ht="12.75" customHeight="1" x14ac:dyDescent="0.25">
      <c r="A53" s="151"/>
      <c r="B53" s="152"/>
      <c r="C53" s="219"/>
      <c r="D53" s="153"/>
      <c r="E53" s="154"/>
      <c r="F53" s="153"/>
      <c r="G53" s="154"/>
      <c r="H53" s="155"/>
      <c r="I53" s="154"/>
    </row>
    <row r="54" spans="1:9" s="142" customFormat="1" ht="12.75" customHeight="1" x14ac:dyDescent="0.25">
      <c r="A54" s="151">
        <v>2014</v>
      </c>
      <c r="B54" s="152" t="s">
        <v>1</v>
      </c>
      <c r="C54" s="219"/>
      <c r="D54" s="153">
        <v>5405.2780227656503</v>
      </c>
      <c r="E54" s="154" t="s">
        <v>508</v>
      </c>
      <c r="F54" s="153">
        <v>1068.5722590978301</v>
      </c>
      <c r="G54" s="154" t="s">
        <v>508</v>
      </c>
      <c r="H54" s="155">
        <v>19.769052666620972</v>
      </c>
      <c r="I54" s="154" t="s">
        <v>508</v>
      </c>
    </row>
    <row r="55" spans="1:9" s="142" customFormat="1" ht="12.75" customHeight="1" x14ac:dyDescent="0.25">
      <c r="A55" s="151"/>
      <c r="B55" s="152" t="s">
        <v>2</v>
      </c>
      <c r="C55" s="219"/>
      <c r="D55" s="153">
        <v>5493.6928785475402</v>
      </c>
      <c r="E55" s="154" t="s">
        <v>508</v>
      </c>
      <c r="F55" s="153">
        <v>915.09997378329297</v>
      </c>
      <c r="G55" s="154" t="s">
        <v>508</v>
      </c>
      <c r="H55" s="155">
        <v>16.657283070131022</v>
      </c>
      <c r="I55" s="154" t="s">
        <v>508</v>
      </c>
    </row>
    <row r="56" spans="1:9" s="142" customFormat="1" ht="12.75" customHeight="1" x14ac:dyDescent="0.25">
      <c r="A56" s="151"/>
      <c r="B56" s="152" t="s">
        <v>3</v>
      </c>
      <c r="C56" s="219"/>
      <c r="D56" s="153">
        <v>4910.5003458286001</v>
      </c>
      <c r="E56" s="154" t="s">
        <v>508</v>
      </c>
      <c r="F56" s="153">
        <v>788.65685650215801</v>
      </c>
      <c r="G56" s="154" t="s">
        <v>508</v>
      </c>
      <c r="H56" s="155">
        <v>16.060621137561078</v>
      </c>
      <c r="I56" s="154" t="s">
        <v>508</v>
      </c>
    </row>
    <row r="57" spans="1:9" s="142" customFormat="1" ht="12.75" customHeight="1" x14ac:dyDescent="0.25">
      <c r="A57" s="151"/>
      <c r="B57" s="152" t="s">
        <v>4</v>
      </c>
      <c r="C57" s="219"/>
      <c r="D57" s="153">
        <v>4535.5287528582103</v>
      </c>
      <c r="E57" s="154" t="s">
        <v>508</v>
      </c>
      <c r="F57" s="153">
        <v>707.67091061672102</v>
      </c>
      <c r="G57" s="154" t="s">
        <v>508</v>
      </c>
      <c r="H57" s="155">
        <v>15.602831536913072</v>
      </c>
      <c r="I57" s="154" t="s">
        <v>508</v>
      </c>
    </row>
    <row r="58" spans="1:9" s="142" customFormat="1" ht="12.75" customHeight="1" x14ac:dyDescent="0.25">
      <c r="A58" s="151"/>
      <c r="B58" s="152"/>
      <c r="C58" s="219"/>
      <c r="D58" s="153"/>
      <c r="E58" s="154"/>
      <c r="F58" s="153"/>
      <c r="G58" s="154"/>
      <c r="H58" s="155"/>
      <c r="I58" s="154"/>
    </row>
    <row r="59" spans="1:9" s="142" customFormat="1" ht="12.75" customHeight="1" x14ac:dyDescent="0.25">
      <c r="A59" s="151">
        <v>2015</v>
      </c>
      <c r="B59" s="152" t="s">
        <v>1</v>
      </c>
      <c r="C59" s="219"/>
      <c r="D59" s="153">
        <v>4178.61989964647</v>
      </c>
      <c r="E59" s="154" t="s">
        <v>508</v>
      </c>
      <c r="F59" s="153">
        <v>687.27009603026295</v>
      </c>
      <c r="G59" s="154" t="s">
        <v>508</v>
      </c>
      <c r="H59" s="155">
        <v>16.447298690374041</v>
      </c>
      <c r="I59" s="154" t="s">
        <v>508</v>
      </c>
    </row>
    <row r="60" spans="1:9" s="142" customFormat="1" ht="12.75" customHeight="1" x14ac:dyDescent="0.25">
      <c r="A60" s="151"/>
      <c r="B60" s="152" t="s">
        <v>2</v>
      </c>
      <c r="C60" s="219"/>
      <c r="D60" s="153">
        <v>3982.0681918810401</v>
      </c>
      <c r="E60" s="154" t="s">
        <v>508</v>
      </c>
      <c r="F60" s="153">
        <v>615.96080705364295</v>
      </c>
      <c r="G60" s="154" t="s">
        <v>508</v>
      </c>
      <c r="H60" s="155">
        <v>15.468364110627569</v>
      </c>
      <c r="I60" s="154" t="s">
        <v>508</v>
      </c>
    </row>
    <row r="61" spans="1:9" s="142" customFormat="1" ht="12.75" customHeight="1" x14ac:dyDescent="0.25">
      <c r="A61" s="151"/>
      <c r="B61" s="152" t="s">
        <v>3</v>
      </c>
      <c r="C61" s="219"/>
      <c r="D61" s="153">
        <v>3902.7725014163898</v>
      </c>
      <c r="E61" s="154" t="s">
        <v>508</v>
      </c>
      <c r="F61" s="153">
        <v>629.47078903401098</v>
      </c>
      <c r="G61" s="154" t="s">
        <v>508</v>
      </c>
      <c r="H61" s="155">
        <v>16.128810705865231</v>
      </c>
      <c r="I61" s="154" t="s">
        <v>508</v>
      </c>
    </row>
    <row r="62" spans="1:9" s="142" customFormat="1" ht="12.75" customHeight="1" x14ac:dyDescent="0.25">
      <c r="A62" s="151"/>
      <c r="B62" s="152" t="s">
        <v>4</v>
      </c>
      <c r="C62" s="219"/>
      <c r="D62" s="153">
        <v>3781.5394070560901</v>
      </c>
      <c r="E62" s="154" t="s">
        <v>508</v>
      </c>
      <c r="F62" s="153">
        <v>546.29830788208301</v>
      </c>
      <c r="G62" s="154" t="s">
        <v>508</v>
      </c>
      <c r="H62" s="155">
        <v>14.446452861570828</v>
      </c>
      <c r="I62" s="154" t="s">
        <v>508</v>
      </c>
    </row>
    <row r="63" spans="1:9" s="142" customFormat="1" ht="12.75" customHeight="1" x14ac:dyDescent="0.25">
      <c r="A63" s="151"/>
      <c r="B63" s="152"/>
      <c r="C63" s="219"/>
      <c r="D63" s="153"/>
      <c r="E63" s="154"/>
      <c r="F63" s="153"/>
      <c r="G63" s="154"/>
      <c r="H63" s="155"/>
      <c r="I63" s="154"/>
    </row>
    <row r="64" spans="1:9" s="142" customFormat="1" ht="12.75" customHeight="1" x14ac:dyDescent="0.25">
      <c r="A64" s="151">
        <v>2016</v>
      </c>
      <c r="B64" s="152" t="s">
        <v>1</v>
      </c>
      <c r="C64" s="219" t="s">
        <v>197</v>
      </c>
      <c r="D64" s="153">
        <v>3733.5103732500202</v>
      </c>
      <c r="E64" s="154" t="s">
        <v>280</v>
      </c>
      <c r="F64" s="153">
        <v>698.90333715822601</v>
      </c>
      <c r="G64" s="154" t="s">
        <v>280</v>
      </c>
      <c r="H64" s="155">
        <v>18.719737386180899</v>
      </c>
      <c r="I64" s="154" t="s">
        <v>280</v>
      </c>
    </row>
    <row r="65" spans="1:27" s="142" customFormat="1" ht="12.75" customHeight="1" x14ac:dyDescent="0.25">
      <c r="A65" s="151"/>
      <c r="B65" s="152" t="s">
        <v>2</v>
      </c>
      <c r="C65" s="219" t="s">
        <v>197</v>
      </c>
      <c r="D65" s="153">
        <v>3576.71635881675</v>
      </c>
      <c r="E65" s="154" t="s">
        <v>280</v>
      </c>
      <c r="F65" s="153">
        <v>626.99243507625295</v>
      </c>
      <c r="G65" s="154" t="s">
        <v>280</v>
      </c>
      <c r="H65" s="155">
        <v>17.529833852513672</v>
      </c>
      <c r="I65" s="154" t="s">
        <v>280</v>
      </c>
    </row>
    <row r="66" spans="1:27" s="142" customFormat="1" ht="12.75" customHeight="1" x14ac:dyDescent="0.25">
      <c r="A66" s="151"/>
      <c r="B66" s="152" t="s">
        <v>3</v>
      </c>
      <c r="C66" s="219" t="s">
        <v>197</v>
      </c>
      <c r="D66" s="153">
        <v>3872.7151887776899</v>
      </c>
      <c r="E66" s="154" t="s">
        <v>280</v>
      </c>
      <c r="F66" s="153">
        <v>608.52255371232195</v>
      </c>
      <c r="G66" s="154" t="s">
        <v>508</v>
      </c>
      <c r="H66" s="155">
        <v>15.713072716415907</v>
      </c>
      <c r="I66" s="154" t="s">
        <v>508</v>
      </c>
    </row>
    <row r="67" spans="1:27" s="142" customFormat="1" ht="12.75" customHeight="1" x14ac:dyDescent="0.25">
      <c r="A67" s="152"/>
      <c r="B67" s="152" t="s">
        <v>4</v>
      </c>
      <c r="C67" s="219" t="s">
        <v>508</v>
      </c>
      <c r="D67" s="153">
        <v>3823.0580791555499</v>
      </c>
      <c r="E67" s="154" t="s">
        <v>280</v>
      </c>
      <c r="F67" s="153" t="s">
        <v>67</v>
      </c>
      <c r="G67" s="154" t="s">
        <v>508</v>
      </c>
      <c r="H67" s="155" t="s">
        <v>67</v>
      </c>
      <c r="I67" s="154" t="s">
        <v>508</v>
      </c>
    </row>
    <row r="68" spans="1:27" s="142" customFormat="1" ht="12.75" customHeight="1" x14ac:dyDescent="0.25">
      <c r="A68" s="151"/>
      <c r="B68" s="152"/>
      <c r="C68" s="219"/>
      <c r="D68" s="153"/>
      <c r="E68" s="154"/>
      <c r="F68" s="153"/>
      <c r="G68" s="154"/>
      <c r="H68" s="153"/>
      <c r="I68" s="154"/>
    </row>
    <row r="69" spans="1:27" s="142" customFormat="1" ht="12.75" customHeight="1" x14ac:dyDescent="0.25">
      <c r="A69" s="151">
        <v>2017</v>
      </c>
      <c r="B69" s="152" t="s">
        <v>1</v>
      </c>
      <c r="C69" s="219" t="s">
        <v>508</v>
      </c>
      <c r="D69" s="153">
        <v>3872.71540974352</v>
      </c>
      <c r="E69" s="154" t="s">
        <v>508</v>
      </c>
      <c r="F69" s="153" t="s">
        <v>67</v>
      </c>
      <c r="G69" s="154" t="s">
        <v>508</v>
      </c>
      <c r="H69" s="155" t="s">
        <v>67</v>
      </c>
      <c r="I69" s="154" t="s">
        <v>508</v>
      </c>
      <c r="AA69" s="142" t="s">
        <v>508</v>
      </c>
    </row>
    <row r="70" spans="1:27" s="142" customFormat="1" ht="12.75" customHeight="1" thickBot="1" x14ac:dyDescent="0.3">
      <c r="A70" s="152"/>
      <c r="B70" s="156"/>
      <c r="C70" s="220"/>
      <c r="D70" s="153"/>
      <c r="E70" s="154"/>
      <c r="F70" s="153"/>
      <c r="G70" s="154"/>
      <c r="H70" s="153"/>
      <c r="I70" s="154"/>
    </row>
    <row r="71" spans="1:27" s="142" customFormat="1" ht="12.75" customHeight="1" x14ac:dyDescent="0.2">
      <c r="A71" s="159" t="s">
        <v>513</v>
      </c>
      <c r="B71" s="159"/>
      <c r="C71" s="221"/>
      <c r="D71" s="159"/>
      <c r="E71" s="221"/>
      <c r="F71" s="159"/>
      <c r="G71" s="221"/>
      <c r="H71" s="159"/>
      <c r="I71" s="221"/>
    </row>
    <row r="72" spans="1:27" s="142" customFormat="1" ht="12.75" customHeight="1" x14ac:dyDescent="0.2">
      <c r="A72" s="160"/>
      <c r="B72" s="160"/>
      <c r="C72" s="161"/>
      <c r="D72" s="160"/>
      <c r="E72" s="161"/>
      <c r="F72" s="160"/>
      <c r="G72" s="161"/>
      <c r="H72" s="160"/>
      <c r="I72" s="161"/>
    </row>
    <row r="73" spans="1:27" s="142" customFormat="1" ht="12.75" customHeight="1" x14ac:dyDescent="0.2">
      <c r="A73" s="162">
        <v>2016</v>
      </c>
      <c r="B73" s="163" t="s">
        <v>2</v>
      </c>
      <c r="C73" s="222"/>
      <c r="D73" s="164">
        <v>1.2988903009011787</v>
      </c>
      <c r="E73" s="161"/>
      <c r="F73" s="164">
        <v>-2.9457901452486834</v>
      </c>
      <c r="G73" s="161"/>
      <c r="H73" s="164"/>
      <c r="I73" s="161"/>
    </row>
    <row r="74" spans="1:27" s="142" customFormat="1" ht="12.75" customHeight="1" x14ac:dyDescent="0.2">
      <c r="A74" s="165"/>
      <c r="B74" s="166"/>
      <c r="C74" s="223"/>
      <c r="D74" s="167"/>
      <c r="E74" s="281"/>
      <c r="F74" s="167"/>
      <c r="G74" s="281"/>
      <c r="H74" s="167"/>
      <c r="I74" s="281"/>
    </row>
    <row r="75" spans="1:27" s="142" customFormat="1" ht="12.75" customHeight="1" thickBot="1" x14ac:dyDescent="0.25">
      <c r="A75" s="162">
        <v>2015</v>
      </c>
      <c r="B75" s="163" t="s">
        <v>3</v>
      </c>
      <c r="C75" s="224"/>
      <c r="D75" s="168">
        <v>3.7285295225340853</v>
      </c>
      <c r="E75" s="282"/>
      <c r="F75" s="168">
        <v>-3.3279122219215806</v>
      </c>
      <c r="G75" s="282"/>
      <c r="H75" s="168"/>
      <c r="I75" s="282"/>
    </row>
    <row r="76" spans="1:27" s="169" customFormat="1" ht="12.75" customHeight="1" x14ac:dyDescent="0.2">
      <c r="A76" s="342"/>
      <c r="B76" s="342"/>
      <c r="C76" s="342"/>
      <c r="D76" s="342"/>
      <c r="E76" s="342"/>
      <c r="F76" s="342"/>
      <c r="G76" s="342"/>
      <c r="H76" s="342"/>
      <c r="I76" s="342"/>
    </row>
    <row r="77" spans="1:27" s="171" customFormat="1" ht="58.5" customHeight="1" x14ac:dyDescent="0.3">
      <c r="A77" s="340" t="s">
        <v>258</v>
      </c>
      <c r="B77" s="340"/>
      <c r="C77" s="340"/>
      <c r="D77" s="340"/>
      <c r="E77" s="340"/>
      <c r="F77" s="340"/>
      <c r="G77" s="340"/>
      <c r="H77" s="340"/>
      <c r="I77" s="340"/>
      <c r="J77" s="340"/>
      <c r="K77" s="340"/>
    </row>
    <row r="78" spans="1:27" s="171" customFormat="1" ht="79.5" customHeight="1" x14ac:dyDescent="0.3">
      <c r="A78" s="340" t="s">
        <v>259</v>
      </c>
      <c r="B78" s="340"/>
      <c r="C78" s="340"/>
      <c r="D78" s="340"/>
      <c r="E78" s="340"/>
      <c r="F78" s="340"/>
      <c r="G78" s="340"/>
      <c r="H78" s="340"/>
      <c r="I78" s="340"/>
      <c r="J78" s="340"/>
      <c r="K78" s="340"/>
    </row>
    <row r="79" spans="1:27" s="169" customFormat="1" ht="63.75" customHeight="1" x14ac:dyDescent="0.2">
      <c r="A79" s="340" t="s">
        <v>260</v>
      </c>
      <c r="B79" s="340"/>
      <c r="C79" s="340"/>
      <c r="D79" s="340"/>
      <c r="E79" s="340"/>
      <c r="F79" s="340"/>
      <c r="G79" s="340"/>
      <c r="H79" s="340"/>
      <c r="I79" s="340"/>
      <c r="J79" s="340"/>
      <c r="K79" s="340"/>
    </row>
    <row r="80" spans="1:27" ht="31.5" customHeight="1" x14ac:dyDescent="0.3">
      <c r="A80" s="340" t="s">
        <v>257</v>
      </c>
      <c r="B80" s="340"/>
      <c r="C80" s="340"/>
      <c r="D80" s="340"/>
      <c r="E80" s="340"/>
      <c r="F80" s="340"/>
      <c r="G80" s="340"/>
      <c r="H80" s="340"/>
      <c r="I80" s="340"/>
      <c r="J80" s="340"/>
      <c r="K80" s="340"/>
    </row>
    <row r="81" spans="1:9" ht="12.75" customHeight="1" x14ac:dyDescent="0.3">
      <c r="A81" s="340"/>
      <c r="B81" s="340"/>
      <c r="C81" s="340"/>
      <c r="D81" s="340"/>
      <c r="E81" s="340"/>
      <c r="F81" s="340"/>
      <c r="G81" s="340"/>
      <c r="H81" s="340"/>
      <c r="I81" s="340"/>
    </row>
    <row r="82" spans="1:9" ht="12.75" customHeight="1" x14ac:dyDescent="0.3">
      <c r="A82" s="345"/>
      <c r="B82" s="345"/>
      <c r="C82" s="345"/>
      <c r="D82" s="345"/>
      <c r="E82" s="345"/>
      <c r="F82" s="345"/>
      <c r="G82" s="345"/>
      <c r="H82" s="345"/>
      <c r="I82" s="345"/>
    </row>
    <row r="83" spans="1:9" ht="12.75" customHeight="1" x14ac:dyDescent="0.3">
      <c r="A83" s="345"/>
      <c r="B83" s="345"/>
      <c r="C83" s="345"/>
      <c r="D83" s="345"/>
      <c r="E83" s="345"/>
      <c r="F83" s="345"/>
      <c r="G83" s="345"/>
      <c r="H83" s="345"/>
      <c r="I83" s="345"/>
    </row>
    <row r="84" spans="1:9" ht="12.75" customHeight="1" x14ac:dyDescent="0.3">
      <c r="A84" s="345"/>
      <c r="B84" s="345"/>
      <c r="C84" s="345"/>
      <c r="D84" s="345"/>
      <c r="E84" s="345"/>
      <c r="F84" s="345"/>
      <c r="G84" s="345"/>
      <c r="H84" s="345"/>
      <c r="I84" s="345"/>
    </row>
    <row r="85" spans="1:9" ht="12.75" customHeight="1" x14ac:dyDescent="0.3">
      <c r="A85" s="345"/>
      <c r="B85" s="345"/>
      <c r="C85" s="345"/>
      <c r="D85" s="345"/>
      <c r="E85" s="345"/>
      <c r="F85" s="345"/>
      <c r="G85" s="345"/>
      <c r="H85" s="345"/>
      <c r="I85" s="345"/>
    </row>
  </sheetData>
  <dataConsolidate/>
  <mergeCells count="16">
    <mergeCell ref="D2:K2"/>
    <mergeCell ref="A77:K77"/>
    <mergeCell ref="A78:K78"/>
    <mergeCell ref="A79:K79"/>
    <mergeCell ref="A80:K80"/>
    <mergeCell ref="A85:I85"/>
    <mergeCell ref="D5:I5"/>
    <mergeCell ref="F6:I6"/>
    <mergeCell ref="F7:G7"/>
    <mergeCell ref="H7:I7"/>
    <mergeCell ref="A81:I81"/>
    <mergeCell ref="A82:I82"/>
    <mergeCell ref="A83:I83"/>
    <mergeCell ref="A84:I84"/>
    <mergeCell ref="D6:E7"/>
    <mergeCell ref="A76:I76"/>
  </mergeCells>
  <hyperlinks>
    <hyperlink ref="A3" location="'Table Contents'!A1" display="Back to contents"/>
  </hyperlinks>
  <printOptions horizontalCentered="1" verticalCentered="1" gridLinesSet="0"/>
  <pageMargins left="0.19685039370078741" right="0.19685039370078741" top="0.19685039370078741" bottom="0.19685039370078741" header="0.39370078740157483" footer="0.39370078740157483"/>
  <pageSetup paperSize="9" scale="46" orientation="portrait" horizontalDpi="300" verticalDpi="4294967292"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AA86"/>
  <sheetViews>
    <sheetView showGridLines="0" zoomScaleNormal="100" workbookViewId="0">
      <pane xSplit="3" ySplit="7" topLeftCell="D8" activePane="bottomRight" state="frozen"/>
      <selection pane="topRight" activeCell="D1" sqref="D1"/>
      <selection pane="bottomLeft" activeCell="A8" sqref="A8"/>
      <selection pane="bottomRight" activeCell="D8" sqref="D8"/>
    </sheetView>
  </sheetViews>
  <sheetFormatPr defaultColWidth="8.85546875" defaultRowHeight="12.75" customHeight="1" x14ac:dyDescent="0.3"/>
  <cols>
    <col min="1" max="1" width="7.42578125" style="131" customWidth="1"/>
    <col min="2" max="2" width="4.85546875" style="131" customWidth="1"/>
    <col min="3" max="3" width="4.85546875" style="174" customWidth="1"/>
    <col min="4" max="4" width="12.7109375" style="172" customWidth="1"/>
    <col min="5" max="5" width="3.85546875" style="174" customWidth="1"/>
    <col min="6" max="6" width="12.7109375" style="172" customWidth="1"/>
    <col min="7" max="7" width="3.85546875" style="174" customWidth="1"/>
    <col min="8" max="8" width="6.140625" style="172" customWidth="1"/>
    <col min="9" max="9" width="3.85546875" style="174" customWidth="1"/>
    <col min="10" max="10" width="8.85546875" style="173" customWidth="1"/>
    <col min="11" max="11" width="3.85546875" style="174" customWidth="1"/>
    <col min="12" max="12" width="9.28515625" style="173" customWidth="1"/>
    <col min="13" max="13" width="3.85546875" style="174" customWidth="1"/>
    <col min="14" max="14" width="7.85546875" style="174" customWidth="1"/>
    <col min="15" max="15" width="3.5703125" style="174" customWidth="1"/>
    <col min="16" max="16" width="9.28515625" style="172" customWidth="1"/>
    <col min="17" max="17" width="3.85546875" style="174" customWidth="1"/>
    <col min="18" max="18" width="9.28515625" style="172" customWidth="1"/>
    <col min="19" max="19" width="3.85546875" style="174" customWidth="1"/>
    <col min="20" max="20" width="8.85546875" style="134"/>
    <col min="21" max="21" width="3.85546875" style="171" customWidth="1"/>
    <col min="22" max="22" width="16" style="134" customWidth="1"/>
    <col min="23" max="16384" width="8.85546875" style="134"/>
  </cols>
  <sheetData>
    <row r="1" spans="1:26" ht="12.75" customHeight="1" x14ac:dyDescent="0.3">
      <c r="B1" s="132"/>
      <c r="C1" s="133"/>
      <c r="D1" s="132"/>
      <c r="E1" s="133"/>
      <c r="F1" s="132"/>
      <c r="G1" s="133"/>
      <c r="H1" s="132"/>
      <c r="I1" s="133"/>
      <c r="J1" s="132"/>
      <c r="K1" s="133"/>
      <c r="L1" s="132"/>
      <c r="M1" s="133"/>
      <c r="N1" s="133"/>
      <c r="O1" s="133"/>
      <c r="P1" s="132"/>
      <c r="Q1" s="133"/>
      <c r="R1" s="132"/>
      <c r="S1" s="133"/>
    </row>
    <row r="2" spans="1:26" s="136" customFormat="1" ht="31.5" customHeight="1" x14ac:dyDescent="0.3">
      <c r="A2" s="193" t="s">
        <v>203</v>
      </c>
      <c r="B2" s="191"/>
      <c r="C2" s="191"/>
      <c r="D2" s="195" t="s">
        <v>261</v>
      </c>
      <c r="E2" s="133"/>
      <c r="F2" s="132"/>
      <c r="G2" s="133"/>
      <c r="H2" s="132"/>
      <c r="I2" s="133"/>
      <c r="J2" s="132"/>
      <c r="K2" s="133"/>
      <c r="L2" s="132"/>
      <c r="M2" s="133"/>
      <c r="N2" s="132"/>
      <c r="O2" s="133"/>
      <c r="P2" s="132"/>
      <c r="Q2" s="133"/>
      <c r="R2" s="132"/>
      <c r="S2" s="133"/>
      <c r="T2" s="132"/>
      <c r="U2" s="133"/>
      <c r="V2" s="132"/>
      <c r="W2" s="132"/>
      <c r="X2" s="132"/>
    </row>
    <row r="3" spans="1:26" s="136" customFormat="1" ht="17.25" x14ac:dyDescent="0.3">
      <c r="A3" s="190" t="s">
        <v>154</v>
      </c>
      <c r="B3" s="187"/>
      <c r="C3" s="225"/>
      <c r="D3" s="198" t="s">
        <v>161</v>
      </c>
      <c r="E3" s="283"/>
      <c r="F3" s="188"/>
      <c r="G3" s="283"/>
      <c r="H3" s="188"/>
      <c r="I3" s="283"/>
      <c r="J3" s="188"/>
      <c r="K3" s="283"/>
      <c r="L3" s="188"/>
      <c r="M3" s="283"/>
      <c r="N3" s="188"/>
      <c r="O3" s="283"/>
      <c r="P3" s="188"/>
      <c r="Q3" s="133"/>
      <c r="R3" s="132"/>
      <c r="S3" s="133"/>
      <c r="T3" s="132"/>
      <c r="U3" s="133"/>
      <c r="V3" s="132"/>
      <c r="W3" s="132"/>
      <c r="X3" s="132"/>
    </row>
    <row r="4" spans="1:26" ht="10.5" customHeight="1" thickBot="1" x14ac:dyDescent="0.35">
      <c r="A4" s="137"/>
      <c r="B4" s="137"/>
      <c r="C4" s="215"/>
      <c r="D4" s="137"/>
      <c r="E4" s="215"/>
      <c r="F4" s="137"/>
      <c r="G4" s="215"/>
      <c r="H4" s="137"/>
      <c r="I4" s="215"/>
      <c r="J4" s="337"/>
      <c r="K4" s="337"/>
      <c r="L4" s="337"/>
      <c r="M4" s="337"/>
      <c r="N4" s="337"/>
      <c r="O4" s="337"/>
      <c r="P4" s="337"/>
      <c r="Q4" s="337"/>
      <c r="R4" s="337"/>
      <c r="S4" s="337"/>
    </row>
    <row r="5" spans="1:26" ht="30.75" customHeight="1" thickBot="1" x14ac:dyDescent="0.35">
      <c r="A5" s="138"/>
      <c r="B5" s="138"/>
      <c r="C5" s="216"/>
      <c r="D5" s="348" t="s">
        <v>262</v>
      </c>
      <c r="E5" s="348"/>
      <c r="F5" s="348"/>
      <c r="G5" s="348"/>
      <c r="H5" s="348"/>
      <c r="I5" s="348"/>
      <c r="J5" s="348"/>
      <c r="K5" s="348"/>
      <c r="L5" s="348"/>
      <c r="M5" s="348"/>
      <c r="N5" s="237"/>
      <c r="O5" s="291"/>
      <c r="P5" s="347" t="s">
        <v>263</v>
      </c>
      <c r="Q5" s="347"/>
      <c r="R5" s="347"/>
      <c r="S5" s="347"/>
      <c r="T5" s="347"/>
      <c r="U5" s="347"/>
    </row>
    <row r="6" spans="1:26" s="141" customFormat="1" ht="45" customHeight="1" x14ac:dyDescent="0.3">
      <c r="A6" s="139"/>
      <c r="B6" s="140" t="s">
        <v>140</v>
      </c>
      <c r="C6" s="226"/>
      <c r="D6" s="355" t="s">
        <v>124</v>
      </c>
      <c r="E6" s="355"/>
      <c r="F6" s="352" t="s">
        <v>183</v>
      </c>
      <c r="G6" s="352"/>
      <c r="H6" s="352"/>
      <c r="I6" s="352"/>
      <c r="J6" s="358" t="s">
        <v>119</v>
      </c>
      <c r="K6" s="358"/>
      <c r="L6" s="358" t="s">
        <v>120</v>
      </c>
      <c r="M6" s="358"/>
      <c r="N6" s="236"/>
      <c r="O6" s="291"/>
      <c r="P6" s="358" t="s">
        <v>186</v>
      </c>
      <c r="Q6" s="358"/>
      <c r="R6" s="360" t="s">
        <v>17</v>
      </c>
      <c r="S6" s="360"/>
      <c r="T6" s="358" t="s">
        <v>18</v>
      </c>
      <c r="U6" s="358"/>
    </row>
    <row r="7" spans="1:26" s="142" customFormat="1" ht="16.5" customHeight="1" thickBot="1" x14ac:dyDescent="0.35">
      <c r="A7" s="229" t="s">
        <v>141</v>
      </c>
      <c r="B7" s="230" t="s">
        <v>140</v>
      </c>
      <c r="C7" s="230"/>
      <c r="D7" s="356"/>
      <c r="E7" s="356"/>
      <c r="F7" s="238" t="s">
        <v>184</v>
      </c>
      <c r="G7" s="290"/>
      <c r="H7" s="238" t="s">
        <v>178</v>
      </c>
      <c r="I7" s="290"/>
      <c r="J7" s="359"/>
      <c r="K7" s="359"/>
      <c r="L7" s="359"/>
      <c r="M7" s="359"/>
      <c r="N7" s="239"/>
      <c r="O7" s="292"/>
      <c r="P7" s="359"/>
      <c r="Q7" s="359"/>
      <c r="R7" s="361"/>
      <c r="S7" s="361"/>
      <c r="T7" s="359"/>
      <c r="U7" s="359"/>
    </row>
    <row r="8" spans="1:26" s="146" customFormat="1" ht="12.75" customHeight="1" x14ac:dyDescent="0.25">
      <c r="A8" s="143">
        <v>2007</v>
      </c>
      <c r="B8" s="143"/>
      <c r="C8" s="213"/>
      <c r="D8" s="144">
        <v>64480</v>
      </c>
      <c r="E8" s="145" t="s">
        <v>508</v>
      </c>
      <c r="F8" s="144">
        <v>13262</v>
      </c>
      <c r="G8" s="145" t="s">
        <v>508</v>
      </c>
      <c r="H8" s="240">
        <v>20.567617866004966</v>
      </c>
      <c r="I8" s="145" t="s">
        <v>508</v>
      </c>
      <c r="J8" s="144">
        <v>68</v>
      </c>
      <c r="K8" s="145" t="s">
        <v>508</v>
      </c>
      <c r="L8" s="144">
        <v>13194</v>
      </c>
      <c r="M8" s="145" t="s">
        <v>508</v>
      </c>
      <c r="N8" s="145"/>
      <c r="O8" s="293"/>
      <c r="P8" s="144">
        <v>13332</v>
      </c>
      <c r="Q8" s="145" t="s">
        <v>508</v>
      </c>
      <c r="R8" s="144">
        <v>77</v>
      </c>
      <c r="S8" s="145" t="s">
        <v>508</v>
      </c>
      <c r="T8" s="144">
        <v>13255</v>
      </c>
      <c r="U8" s="145" t="s">
        <v>508</v>
      </c>
    </row>
    <row r="9" spans="1:26" s="146" customFormat="1" ht="12.75" customHeight="1" x14ac:dyDescent="0.25">
      <c r="A9" s="143">
        <v>2008</v>
      </c>
      <c r="B9" s="143"/>
      <c r="C9" s="213"/>
      <c r="D9" s="144">
        <v>67428</v>
      </c>
      <c r="E9" s="145" t="s">
        <v>508</v>
      </c>
      <c r="F9" s="144">
        <v>13856</v>
      </c>
      <c r="G9" s="145" t="s">
        <v>508</v>
      </c>
      <c r="H9" s="240">
        <v>20.549326689209231</v>
      </c>
      <c r="I9" s="145" t="s">
        <v>508</v>
      </c>
      <c r="J9" s="144">
        <v>66</v>
      </c>
      <c r="K9" s="145" t="s">
        <v>508</v>
      </c>
      <c r="L9" s="144">
        <v>13790</v>
      </c>
      <c r="M9" s="145" t="s">
        <v>508</v>
      </c>
      <c r="N9" s="145"/>
      <c r="O9" s="293"/>
      <c r="P9" s="144">
        <v>13265</v>
      </c>
      <c r="Q9" s="145" t="s">
        <v>508</v>
      </c>
      <c r="R9" s="144">
        <v>67</v>
      </c>
      <c r="S9" s="145" t="s">
        <v>508</v>
      </c>
      <c r="T9" s="144">
        <v>13198</v>
      </c>
      <c r="U9" s="145" t="s">
        <v>508</v>
      </c>
    </row>
    <row r="10" spans="1:26" s="146" customFormat="1" ht="12.75" customHeight="1" x14ac:dyDescent="0.25">
      <c r="A10" s="143">
        <v>2009</v>
      </c>
      <c r="B10" s="143"/>
      <c r="C10" s="213"/>
      <c r="D10" s="144">
        <v>74670</v>
      </c>
      <c r="E10" s="145" t="s">
        <v>508</v>
      </c>
      <c r="F10" s="144">
        <v>15657</v>
      </c>
      <c r="G10" s="145" t="s">
        <v>508</v>
      </c>
      <c r="H10" s="240">
        <v>20.968260345520289</v>
      </c>
      <c r="I10" s="145" t="s">
        <v>508</v>
      </c>
      <c r="J10" s="144">
        <v>50</v>
      </c>
      <c r="K10" s="145" t="s">
        <v>508</v>
      </c>
      <c r="L10" s="144">
        <v>15607</v>
      </c>
      <c r="M10" s="145" t="s">
        <v>508</v>
      </c>
      <c r="N10" s="145"/>
      <c r="O10" s="293"/>
      <c r="P10" s="144">
        <v>15401</v>
      </c>
      <c r="Q10" s="145" t="s">
        <v>508</v>
      </c>
      <c r="R10" s="144">
        <v>64</v>
      </c>
      <c r="S10" s="145" t="s">
        <v>508</v>
      </c>
      <c r="T10" s="144">
        <v>15337</v>
      </c>
      <c r="U10" s="145" t="s">
        <v>508</v>
      </c>
    </row>
    <row r="11" spans="1:26" s="146" customFormat="1" ht="12.75" customHeight="1" x14ac:dyDescent="0.25">
      <c r="A11" s="143">
        <v>2010</v>
      </c>
      <c r="B11" s="143"/>
      <c r="C11" s="213"/>
      <c r="D11" s="144">
        <v>59173</v>
      </c>
      <c r="E11" s="145" t="s">
        <v>508</v>
      </c>
      <c r="F11" s="144">
        <v>12125</v>
      </c>
      <c r="G11" s="145" t="s">
        <v>508</v>
      </c>
      <c r="H11" s="240">
        <v>20.490764368884456</v>
      </c>
      <c r="I11" s="145" t="s">
        <v>508</v>
      </c>
      <c r="J11" s="144">
        <v>97</v>
      </c>
      <c r="K11" s="145" t="s">
        <v>508</v>
      </c>
      <c r="L11" s="144">
        <v>12028</v>
      </c>
      <c r="M11" s="145" t="s">
        <v>508</v>
      </c>
      <c r="N11" s="145"/>
      <c r="O11" s="293"/>
      <c r="P11" s="144">
        <v>12891</v>
      </c>
      <c r="Q11" s="145" t="s">
        <v>508</v>
      </c>
      <c r="R11" s="144">
        <v>14</v>
      </c>
      <c r="S11" s="145" t="s">
        <v>508</v>
      </c>
      <c r="T11" s="144">
        <v>2736</v>
      </c>
      <c r="U11" s="145" t="s">
        <v>508</v>
      </c>
    </row>
    <row r="12" spans="1:26" s="146" customFormat="1" ht="12.75" customHeight="1" x14ac:dyDescent="0.25">
      <c r="A12" s="143">
        <v>2011</v>
      </c>
      <c r="B12" s="143"/>
      <c r="C12" s="213"/>
      <c r="D12" s="144">
        <v>41876</v>
      </c>
      <c r="E12" s="145" t="s">
        <v>508</v>
      </c>
      <c r="F12" s="144">
        <v>9708</v>
      </c>
      <c r="G12" s="145" t="s">
        <v>508</v>
      </c>
      <c r="H12" s="240">
        <v>23.182729964657561</v>
      </c>
      <c r="I12" s="145" t="s">
        <v>508</v>
      </c>
      <c r="J12" s="144">
        <v>93</v>
      </c>
      <c r="K12" s="145" t="s">
        <v>508</v>
      </c>
      <c r="L12" s="144">
        <v>9615</v>
      </c>
      <c r="M12" s="145" t="s">
        <v>508</v>
      </c>
      <c r="N12" s="145"/>
      <c r="O12" s="293"/>
      <c r="P12" s="144">
        <v>10643</v>
      </c>
      <c r="Q12" s="145" t="s">
        <v>508</v>
      </c>
      <c r="R12" s="144">
        <v>90</v>
      </c>
      <c r="S12" s="145" t="s">
        <v>508</v>
      </c>
      <c r="T12" s="144">
        <v>8303</v>
      </c>
      <c r="U12" s="145" t="s">
        <v>508</v>
      </c>
    </row>
    <row r="13" spans="1:26" s="146" customFormat="1" ht="12.75" customHeight="1" x14ac:dyDescent="0.25">
      <c r="A13" s="143">
        <v>2012</v>
      </c>
      <c r="B13" s="143"/>
      <c r="C13" s="213"/>
      <c r="D13" s="144">
        <v>31787</v>
      </c>
      <c r="E13" s="145" t="s">
        <v>508</v>
      </c>
      <c r="F13" s="144">
        <v>6416</v>
      </c>
      <c r="G13" s="145" t="s">
        <v>508</v>
      </c>
      <c r="H13" s="240">
        <v>20.184352093623179</v>
      </c>
      <c r="I13" s="145" t="s">
        <v>508</v>
      </c>
      <c r="J13" s="144">
        <v>49</v>
      </c>
      <c r="K13" s="145" t="s">
        <v>508</v>
      </c>
      <c r="L13" s="144">
        <v>6367</v>
      </c>
      <c r="M13" s="145" t="s">
        <v>508</v>
      </c>
      <c r="N13" s="145"/>
      <c r="O13" s="293"/>
      <c r="P13" s="144">
        <v>7019</v>
      </c>
      <c r="Q13" s="145" t="s">
        <v>508</v>
      </c>
      <c r="R13" s="144">
        <v>88</v>
      </c>
      <c r="S13" s="145" t="s">
        <v>508</v>
      </c>
      <c r="T13" s="144">
        <v>6931</v>
      </c>
      <c r="U13" s="145" t="s">
        <v>508</v>
      </c>
    </row>
    <row r="14" spans="1:26" s="146" customFormat="1" ht="12.75" customHeight="1" x14ac:dyDescent="0.25">
      <c r="A14" s="143">
        <v>2013</v>
      </c>
      <c r="B14" s="143"/>
      <c r="C14" s="213"/>
      <c r="D14" s="144">
        <v>24571</v>
      </c>
      <c r="E14" s="145" t="s">
        <v>508</v>
      </c>
      <c r="F14" s="144">
        <v>4487</v>
      </c>
      <c r="G14" s="145" t="s">
        <v>508</v>
      </c>
      <c r="H14" s="240">
        <v>18.261365023808555</v>
      </c>
      <c r="I14" s="145" t="s">
        <v>508</v>
      </c>
      <c r="J14" s="144">
        <v>53</v>
      </c>
      <c r="K14" s="145" t="s">
        <v>508</v>
      </c>
      <c r="L14" s="144">
        <v>4434</v>
      </c>
      <c r="M14" s="145" t="s">
        <v>508</v>
      </c>
      <c r="N14" s="145"/>
      <c r="O14" s="293"/>
      <c r="P14" s="144">
        <v>4804</v>
      </c>
      <c r="Q14" s="145" t="s">
        <v>508</v>
      </c>
      <c r="R14" s="144">
        <v>58</v>
      </c>
      <c r="S14" s="145" t="s">
        <v>508</v>
      </c>
      <c r="T14" s="144">
        <v>4746</v>
      </c>
      <c r="U14" s="145" t="s">
        <v>508</v>
      </c>
    </row>
    <row r="15" spans="1:26" s="146" customFormat="1" ht="12.75" customHeight="1" x14ac:dyDescent="0.25">
      <c r="A15" s="143">
        <v>2014</v>
      </c>
      <c r="B15" s="143"/>
      <c r="C15" s="213"/>
      <c r="D15" s="144">
        <v>20345</v>
      </c>
      <c r="E15" s="145" t="s">
        <v>508</v>
      </c>
      <c r="F15" s="144">
        <v>3480</v>
      </c>
      <c r="G15" s="145" t="s">
        <v>508</v>
      </c>
      <c r="H15" s="240">
        <v>17.104939788645858</v>
      </c>
      <c r="I15" s="145" t="s">
        <v>508</v>
      </c>
      <c r="J15" s="144">
        <v>37</v>
      </c>
      <c r="K15" s="145" t="s">
        <v>508</v>
      </c>
      <c r="L15" s="144">
        <v>3443</v>
      </c>
      <c r="M15" s="145" t="s">
        <v>508</v>
      </c>
      <c r="N15" s="145"/>
      <c r="O15" s="293"/>
      <c r="P15" s="144">
        <v>3807</v>
      </c>
      <c r="Q15" s="145" t="s">
        <v>508</v>
      </c>
      <c r="R15" s="144">
        <v>39</v>
      </c>
      <c r="S15" s="145" t="s">
        <v>508</v>
      </c>
      <c r="T15" s="144">
        <v>3768</v>
      </c>
      <c r="U15" s="145" t="s">
        <v>508</v>
      </c>
    </row>
    <row r="16" spans="1:26" s="146" customFormat="1" ht="12.75" customHeight="1" x14ac:dyDescent="0.25">
      <c r="A16" s="143">
        <v>2015</v>
      </c>
      <c r="B16" s="143"/>
      <c r="C16" s="213"/>
      <c r="D16" s="144">
        <v>15845</v>
      </c>
      <c r="E16" s="145" t="s">
        <v>508</v>
      </c>
      <c r="F16" s="144">
        <v>2479</v>
      </c>
      <c r="G16" s="145" t="s">
        <v>508</v>
      </c>
      <c r="H16" s="240">
        <v>15.645313979173242</v>
      </c>
      <c r="I16" s="145" t="s">
        <v>508</v>
      </c>
      <c r="J16" s="144">
        <v>13</v>
      </c>
      <c r="K16" s="145" t="s">
        <v>508</v>
      </c>
      <c r="L16" s="144">
        <v>2466</v>
      </c>
      <c r="M16" s="145" t="s">
        <v>508</v>
      </c>
      <c r="N16" s="145"/>
      <c r="O16" s="293"/>
      <c r="P16" s="144">
        <v>2672</v>
      </c>
      <c r="Q16" s="145" t="s">
        <v>508</v>
      </c>
      <c r="R16" s="144">
        <v>53</v>
      </c>
      <c r="S16" s="145" t="s">
        <v>508</v>
      </c>
      <c r="T16" s="144">
        <v>2619</v>
      </c>
      <c r="U16" s="145" t="s">
        <v>508</v>
      </c>
      <c r="Z16" s="147"/>
    </row>
    <row r="17" spans="1:21" s="146" customFormat="1" ht="12.75" customHeight="1" x14ac:dyDescent="0.25">
      <c r="A17" s="143">
        <v>2016</v>
      </c>
      <c r="B17" s="213" t="s">
        <v>508</v>
      </c>
      <c r="D17" s="144">
        <v>15006</v>
      </c>
      <c r="E17" s="145" t="s">
        <v>280</v>
      </c>
      <c r="F17" s="144" t="s">
        <v>67</v>
      </c>
      <c r="G17" s="145" t="s">
        <v>508</v>
      </c>
      <c r="H17" s="240" t="s">
        <v>67</v>
      </c>
      <c r="I17" s="145" t="s">
        <v>508</v>
      </c>
      <c r="J17" s="144" t="s">
        <v>67</v>
      </c>
      <c r="K17" s="145" t="s">
        <v>508</v>
      </c>
      <c r="L17" s="144" t="s">
        <v>67</v>
      </c>
      <c r="M17" s="145" t="s">
        <v>508</v>
      </c>
      <c r="N17" s="145"/>
      <c r="O17" s="293"/>
      <c r="P17" s="144">
        <v>2625</v>
      </c>
      <c r="Q17" s="145" t="s">
        <v>508</v>
      </c>
      <c r="R17" s="144">
        <v>19</v>
      </c>
      <c r="S17" s="145" t="s">
        <v>508</v>
      </c>
      <c r="T17" s="144">
        <v>2606</v>
      </c>
      <c r="U17" s="145" t="s">
        <v>508</v>
      </c>
    </row>
    <row r="18" spans="1:21" s="142" customFormat="1" ht="12.75" customHeight="1" x14ac:dyDescent="0.25">
      <c r="A18" s="148"/>
      <c r="B18" s="148"/>
      <c r="C18" s="218"/>
      <c r="D18" s="149"/>
      <c r="E18" s="154"/>
      <c r="F18" s="149"/>
      <c r="G18" s="154"/>
      <c r="H18" s="241"/>
      <c r="I18" s="154"/>
      <c r="J18" s="149"/>
      <c r="K18" s="154"/>
      <c r="L18" s="149"/>
      <c r="M18" s="154"/>
      <c r="N18" s="154"/>
      <c r="O18" s="294"/>
      <c r="P18" s="149"/>
      <c r="Q18" s="154"/>
      <c r="R18" s="149"/>
      <c r="S18" s="154"/>
      <c r="T18" s="149"/>
      <c r="U18" s="154"/>
    </row>
    <row r="19" spans="1:21" s="142" customFormat="1" ht="12.75" customHeight="1" x14ac:dyDescent="0.25">
      <c r="A19" s="151">
        <v>2007</v>
      </c>
      <c r="B19" s="152" t="s">
        <v>1</v>
      </c>
      <c r="C19" s="219"/>
      <c r="D19" s="153">
        <v>17937</v>
      </c>
      <c r="E19" s="154" t="s">
        <v>508</v>
      </c>
      <c r="F19" s="153">
        <v>2350</v>
      </c>
      <c r="G19" s="154" t="s">
        <v>508</v>
      </c>
      <c r="H19" s="242">
        <v>13.101410492278532</v>
      </c>
      <c r="I19" s="154" t="s">
        <v>508</v>
      </c>
      <c r="J19" s="153">
        <v>15</v>
      </c>
      <c r="K19" s="154" t="s">
        <v>508</v>
      </c>
      <c r="L19" s="153">
        <v>2335</v>
      </c>
      <c r="M19" s="154" t="s">
        <v>508</v>
      </c>
      <c r="N19" s="154"/>
      <c r="O19" s="150"/>
      <c r="P19" s="153">
        <v>2483</v>
      </c>
      <c r="Q19" s="154" t="s">
        <v>508</v>
      </c>
      <c r="R19" s="153">
        <v>23</v>
      </c>
      <c r="S19" s="154" t="s">
        <v>508</v>
      </c>
      <c r="T19" s="153">
        <v>2460</v>
      </c>
      <c r="U19" s="154" t="s">
        <v>508</v>
      </c>
    </row>
    <row r="20" spans="1:21" s="142" customFormat="1" ht="12.75" customHeight="1" x14ac:dyDescent="0.25">
      <c r="A20" s="151"/>
      <c r="B20" s="152" t="s">
        <v>2</v>
      </c>
      <c r="C20" s="219"/>
      <c r="D20" s="153">
        <v>16489</v>
      </c>
      <c r="E20" s="154" t="s">
        <v>508</v>
      </c>
      <c r="F20" s="153">
        <v>4279</v>
      </c>
      <c r="G20" s="154" t="s">
        <v>508</v>
      </c>
      <c r="H20" s="242">
        <v>25.950633755837227</v>
      </c>
      <c r="I20" s="154" t="s">
        <v>508</v>
      </c>
      <c r="J20" s="153">
        <v>17</v>
      </c>
      <c r="K20" s="154" t="s">
        <v>508</v>
      </c>
      <c r="L20" s="153">
        <v>4262</v>
      </c>
      <c r="M20" s="154" t="s">
        <v>508</v>
      </c>
      <c r="N20" s="154"/>
      <c r="O20" s="150"/>
      <c r="P20" s="153">
        <v>2895</v>
      </c>
      <c r="Q20" s="154" t="s">
        <v>508</v>
      </c>
      <c r="R20" s="153">
        <v>27</v>
      </c>
      <c r="S20" s="154" t="s">
        <v>508</v>
      </c>
      <c r="T20" s="153">
        <v>2868</v>
      </c>
      <c r="U20" s="154" t="s">
        <v>508</v>
      </c>
    </row>
    <row r="21" spans="1:21" s="142" customFormat="1" ht="12.75" customHeight="1" x14ac:dyDescent="0.25">
      <c r="A21" s="151"/>
      <c r="B21" s="152" t="s">
        <v>3</v>
      </c>
      <c r="C21" s="219"/>
      <c r="D21" s="153">
        <v>15600</v>
      </c>
      <c r="E21" s="154" t="s">
        <v>508</v>
      </c>
      <c r="F21" s="153">
        <v>3941</v>
      </c>
      <c r="G21" s="154" t="s">
        <v>508</v>
      </c>
      <c r="H21" s="242">
        <v>25.262820512820511</v>
      </c>
      <c r="I21" s="154" t="s">
        <v>508</v>
      </c>
      <c r="J21" s="153">
        <v>18</v>
      </c>
      <c r="K21" s="154" t="s">
        <v>508</v>
      </c>
      <c r="L21" s="153">
        <v>3923</v>
      </c>
      <c r="M21" s="154" t="s">
        <v>508</v>
      </c>
      <c r="N21" s="154"/>
      <c r="O21" s="150"/>
      <c r="P21" s="153">
        <v>4244</v>
      </c>
      <c r="Q21" s="154" t="s">
        <v>508</v>
      </c>
      <c r="R21" s="153">
        <v>11</v>
      </c>
      <c r="S21" s="154" t="s">
        <v>508</v>
      </c>
      <c r="T21" s="153">
        <v>4233</v>
      </c>
      <c r="U21" s="154" t="s">
        <v>508</v>
      </c>
    </row>
    <row r="22" spans="1:21" s="142" customFormat="1" ht="12.75" customHeight="1" x14ac:dyDescent="0.25">
      <c r="A22" s="151"/>
      <c r="B22" s="152" t="s">
        <v>4</v>
      </c>
      <c r="C22" s="219"/>
      <c r="D22" s="153">
        <v>14454</v>
      </c>
      <c r="E22" s="154" t="s">
        <v>508</v>
      </c>
      <c r="F22" s="153">
        <v>2692</v>
      </c>
      <c r="G22" s="154" t="s">
        <v>508</v>
      </c>
      <c r="H22" s="242">
        <v>18.624602186246022</v>
      </c>
      <c r="I22" s="154" t="s">
        <v>508</v>
      </c>
      <c r="J22" s="153">
        <v>18</v>
      </c>
      <c r="K22" s="154" t="s">
        <v>508</v>
      </c>
      <c r="L22" s="153">
        <v>2674</v>
      </c>
      <c r="M22" s="154" t="s">
        <v>508</v>
      </c>
      <c r="N22" s="154"/>
      <c r="O22" s="150"/>
      <c r="P22" s="153">
        <v>3710</v>
      </c>
      <c r="Q22" s="154" t="s">
        <v>508</v>
      </c>
      <c r="R22" s="153">
        <v>16</v>
      </c>
      <c r="S22" s="154" t="s">
        <v>508</v>
      </c>
      <c r="T22" s="153">
        <v>3694</v>
      </c>
      <c r="U22" s="154" t="s">
        <v>508</v>
      </c>
    </row>
    <row r="23" spans="1:21" s="142" customFormat="1" ht="12.75" customHeight="1" x14ac:dyDescent="0.25">
      <c r="A23" s="151"/>
      <c r="B23" s="152"/>
      <c r="C23" s="219"/>
      <c r="D23" s="153"/>
      <c r="E23" s="154"/>
      <c r="F23" s="153"/>
      <c r="G23" s="154"/>
      <c r="H23" s="242"/>
      <c r="I23" s="154"/>
      <c r="J23" s="153"/>
      <c r="K23" s="154"/>
      <c r="L23" s="153"/>
      <c r="M23" s="154"/>
      <c r="N23" s="154"/>
      <c r="O23" s="150"/>
      <c r="P23" s="153"/>
      <c r="Q23" s="154"/>
      <c r="R23" s="153"/>
      <c r="S23" s="154"/>
      <c r="T23" s="153"/>
      <c r="U23" s="154"/>
    </row>
    <row r="24" spans="1:21" s="142" customFormat="1" ht="12.75" customHeight="1" x14ac:dyDescent="0.25">
      <c r="A24" s="151">
        <v>2008</v>
      </c>
      <c r="B24" s="152" t="s">
        <v>1</v>
      </c>
      <c r="C24" s="219"/>
      <c r="D24" s="153">
        <v>15814</v>
      </c>
      <c r="E24" s="154" t="s">
        <v>508</v>
      </c>
      <c r="F24" s="153">
        <v>1980</v>
      </c>
      <c r="G24" s="154" t="s">
        <v>508</v>
      </c>
      <c r="H24" s="242">
        <v>12.520551410142911</v>
      </c>
      <c r="I24" s="154" t="s">
        <v>508</v>
      </c>
      <c r="J24" s="153">
        <v>16</v>
      </c>
      <c r="K24" s="154" t="s">
        <v>508</v>
      </c>
      <c r="L24" s="153">
        <v>1964</v>
      </c>
      <c r="M24" s="154" t="s">
        <v>508</v>
      </c>
      <c r="N24" s="154"/>
      <c r="O24" s="150"/>
      <c r="P24" s="153">
        <v>2169</v>
      </c>
      <c r="Q24" s="154" t="s">
        <v>508</v>
      </c>
      <c r="R24" s="153">
        <v>18</v>
      </c>
      <c r="S24" s="154" t="s">
        <v>508</v>
      </c>
      <c r="T24" s="153">
        <v>2151</v>
      </c>
      <c r="U24" s="154" t="s">
        <v>508</v>
      </c>
    </row>
    <row r="25" spans="1:21" s="142" customFormat="1" ht="12.75" customHeight="1" x14ac:dyDescent="0.25">
      <c r="A25" s="151"/>
      <c r="B25" s="152" t="s">
        <v>2</v>
      </c>
      <c r="C25" s="219"/>
      <c r="D25" s="153">
        <v>16373</v>
      </c>
      <c r="E25" s="154" t="s">
        <v>508</v>
      </c>
      <c r="F25" s="153">
        <v>4262</v>
      </c>
      <c r="G25" s="154" t="s">
        <v>508</v>
      </c>
      <c r="H25" s="242">
        <v>26.030660233310936</v>
      </c>
      <c r="I25" s="154" t="s">
        <v>508</v>
      </c>
      <c r="J25" s="153">
        <v>21</v>
      </c>
      <c r="K25" s="154" t="s">
        <v>508</v>
      </c>
      <c r="L25" s="153">
        <v>4241</v>
      </c>
      <c r="M25" s="154" t="s">
        <v>508</v>
      </c>
      <c r="N25" s="154"/>
      <c r="O25" s="150"/>
      <c r="P25" s="153">
        <v>2656</v>
      </c>
      <c r="Q25" s="154" t="s">
        <v>508</v>
      </c>
      <c r="R25" s="153">
        <v>12</v>
      </c>
      <c r="S25" s="154" t="s">
        <v>508</v>
      </c>
      <c r="T25" s="153">
        <v>2644</v>
      </c>
      <c r="U25" s="154" t="s">
        <v>508</v>
      </c>
    </row>
    <row r="26" spans="1:21" s="142" customFormat="1" ht="12.75" customHeight="1" x14ac:dyDescent="0.25">
      <c r="A26" s="151"/>
      <c r="B26" s="152" t="s">
        <v>3</v>
      </c>
      <c r="C26" s="219"/>
      <c r="D26" s="153">
        <v>17237</v>
      </c>
      <c r="E26" s="154" t="s">
        <v>508</v>
      </c>
      <c r="F26" s="153">
        <v>4419</v>
      </c>
      <c r="G26" s="154" t="s">
        <v>508</v>
      </c>
      <c r="H26" s="242">
        <v>25.636711724778095</v>
      </c>
      <c r="I26" s="154" t="s">
        <v>508</v>
      </c>
      <c r="J26" s="153">
        <v>13</v>
      </c>
      <c r="K26" s="154" t="s">
        <v>508</v>
      </c>
      <c r="L26" s="153">
        <v>4406</v>
      </c>
      <c r="M26" s="154" t="s">
        <v>508</v>
      </c>
      <c r="N26" s="154"/>
      <c r="O26" s="150"/>
      <c r="P26" s="153">
        <v>3923</v>
      </c>
      <c r="Q26" s="154" t="s">
        <v>508</v>
      </c>
      <c r="R26" s="153">
        <v>15</v>
      </c>
      <c r="S26" s="154" t="s">
        <v>508</v>
      </c>
      <c r="T26" s="153">
        <v>3908</v>
      </c>
      <c r="U26" s="154" t="s">
        <v>508</v>
      </c>
    </row>
    <row r="27" spans="1:21" s="142" customFormat="1" ht="12.75" customHeight="1" x14ac:dyDescent="0.25">
      <c r="A27" s="151"/>
      <c r="B27" s="152" t="s">
        <v>4</v>
      </c>
      <c r="C27" s="219"/>
      <c r="D27" s="153">
        <v>18004</v>
      </c>
      <c r="E27" s="154" t="s">
        <v>508</v>
      </c>
      <c r="F27" s="153">
        <v>3195</v>
      </c>
      <c r="G27" s="154" t="s">
        <v>508</v>
      </c>
      <c r="H27" s="242">
        <v>17.746056431904023</v>
      </c>
      <c r="I27" s="154" t="s">
        <v>508</v>
      </c>
      <c r="J27" s="153">
        <v>16</v>
      </c>
      <c r="K27" s="154" t="s">
        <v>508</v>
      </c>
      <c r="L27" s="153">
        <v>3179</v>
      </c>
      <c r="M27" s="154" t="s">
        <v>508</v>
      </c>
      <c r="N27" s="154"/>
      <c r="O27" s="150"/>
      <c r="P27" s="153">
        <v>4517</v>
      </c>
      <c r="Q27" s="154" t="s">
        <v>508</v>
      </c>
      <c r="R27" s="153">
        <v>22</v>
      </c>
      <c r="S27" s="154" t="s">
        <v>508</v>
      </c>
      <c r="T27" s="153">
        <v>4495</v>
      </c>
      <c r="U27" s="154" t="s">
        <v>508</v>
      </c>
    </row>
    <row r="28" spans="1:21" s="142" customFormat="1" ht="12.75" customHeight="1" x14ac:dyDescent="0.25">
      <c r="A28" s="151"/>
      <c r="B28" s="152"/>
      <c r="C28" s="219"/>
      <c r="D28" s="153"/>
      <c r="E28" s="154"/>
      <c r="F28" s="153"/>
      <c r="G28" s="154"/>
      <c r="H28" s="242"/>
      <c r="I28" s="154"/>
      <c r="J28" s="153"/>
      <c r="K28" s="154"/>
      <c r="L28" s="153"/>
      <c r="M28" s="154"/>
      <c r="N28" s="154"/>
      <c r="O28" s="150"/>
      <c r="P28" s="153"/>
      <c r="Q28" s="154"/>
      <c r="R28" s="153"/>
      <c r="S28" s="154"/>
      <c r="T28" s="153"/>
      <c r="U28" s="154"/>
    </row>
    <row r="29" spans="1:21" s="142" customFormat="1" ht="12.75" customHeight="1" x14ac:dyDescent="0.25">
      <c r="A29" s="151">
        <v>2009</v>
      </c>
      <c r="B29" s="152" t="s">
        <v>1</v>
      </c>
      <c r="C29" s="219"/>
      <c r="D29" s="153">
        <v>20446</v>
      </c>
      <c r="E29" s="154" t="s">
        <v>508</v>
      </c>
      <c r="F29" s="153">
        <v>2439</v>
      </c>
      <c r="G29" s="154" t="s">
        <v>508</v>
      </c>
      <c r="H29" s="242">
        <v>11.928983664286413</v>
      </c>
      <c r="I29" s="154" t="s">
        <v>508</v>
      </c>
      <c r="J29" s="153">
        <v>19</v>
      </c>
      <c r="K29" s="154" t="s">
        <v>508</v>
      </c>
      <c r="L29" s="153">
        <v>2420</v>
      </c>
      <c r="M29" s="154" t="s">
        <v>508</v>
      </c>
      <c r="N29" s="154"/>
      <c r="O29" s="150"/>
      <c r="P29" s="153">
        <v>2351</v>
      </c>
      <c r="Q29" s="154" t="s">
        <v>508</v>
      </c>
      <c r="R29" s="153">
        <v>19</v>
      </c>
      <c r="S29" s="154" t="s">
        <v>508</v>
      </c>
      <c r="T29" s="153">
        <v>2332</v>
      </c>
      <c r="U29" s="154" t="s">
        <v>508</v>
      </c>
    </row>
    <row r="30" spans="1:21" s="142" customFormat="1" ht="12.75" customHeight="1" x14ac:dyDescent="0.25">
      <c r="A30" s="151"/>
      <c r="B30" s="152" t="s">
        <v>2</v>
      </c>
      <c r="C30" s="219"/>
      <c r="D30" s="153">
        <v>18870</v>
      </c>
      <c r="E30" s="154" t="s">
        <v>508</v>
      </c>
      <c r="F30" s="153">
        <v>5008</v>
      </c>
      <c r="G30" s="154" t="s">
        <v>508</v>
      </c>
      <c r="H30" s="242">
        <v>26.539480657127719</v>
      </c>
      <c r="I30" s="154" t="s">
        <v>508</v>
      </c>
      <c r="J30" s="153">
        <v>13</v>
      </c>
      <c r="K30" s="154" t="s">
        <v>508</v>
      </c>
      <c r="L30" s="153">
        <v>4995</v>
      </c>
      <c r="M30" s="154" t="s">
        <v>508</v>
      </c>
      <c r="N30" s="154"/>
      <c r="O30" s="150"/>
      <c r="P30" s="153">
        <v>3121</v>
      </c>
      <c r="Q30" s="154" t="s">
        <v>508</v>
      </c>
      <c r="R30" s="153">
        <v>13</v>
      </c>
      <c r="S30" s="154" t="s">
        <v>508</v>
      </c>
      <c r="T30" s="153">
        <v>3108</v>
      </c>
      <c r="U30" s="154" t="s">
        <v>508</v>
      </c>
    </row>
    <row r="31" spans="1:21" s="142" customFormat="1" ht="12.75" customHeight="1" x14ac:dyDescent="0.25">
      <c r="A31" s="151"/>
      <c r="B31" s="152" t="s">
        <v>3</v>
      </c>
      <c r="C31" s="219"/>
      <c r="D31" s="153">
        <v>18347</v>
      </c>
      <c r="E31" s="154" t="s">
        <v>508</v>
      </c>
      <c r="F31" s="153">
        <v>4947</v>
      </c>
      <c r="G31" s="154" t="s">
        <v>508</v>
      </c>
      <c r="H31" s="242">
        <v>26.963536272960159</v>
      </c>
      <c r="I31" s="154" t="s">
        <v>508</v>
      </c>
      <c r="J31" s="153">
        <v>11</v>
      </c>
      <c r="K31" s="154" t="s">
        <v>508</v>
      </c>
      <c r="L31" s="153">
        <v>4936</v>
      </c>
      <c r="M31" s="154" t="s">
        <v>508</v>
      </c>
      <c r="N31" s="154"/>
      <c r="O31" s="150"/>
      <c r="P31" s="153">
        <v>4989</v>
      </c>
      <c r="Q31" s="154" t="s">
        <v>508</v>
      </c>
      <c r="R31" s="153">
        <v>21</v>
      </c>
      <c r="S31" s="154" t="s">
        <v>508</v>
      </c>
      <c r="T31" s="153">
        <v>4968</v>
      </c>
      <c r="U31" s="154" t="s">
        <v>508</v>
      </c>
    </row>
    <row r="32" spans="1:21" s="142" customFormat="1" ht="12.75" customHeight="1" x14ac:dyDescent="0.25">
      <c r="A32" s="151"/>
      <c r="B32" s="152" t="s">
        <v>4</v>
      </c>
      <c r="C32" s="219"/>
      <c r="D32" s="153">
        <v>17007</v>
      </c>
      <c r="E32" s="154" t="s">
        <v>508</v>
      </c>
      <c r="F32" s="153">
        <v>3263</v>
      </c>
      <c r="G32" s="154" t="s">
        <v>508</v>
      </c>
      <c r="H32" s="242">
        <v>19.186217439877698</v>
      </c>
      <c r="I32" s="154" t="s">
        <v>508</v>
      </c>
      <c r="J32" s="153">
        <v>7</v>
      </c>
      <c r="K32" s="154" t="s">
        <v>508</v>
      </c>
      <c r="L32" s="153">
        <v>3256</v>
      </c>
      <c r="M32" s="154" t="s">
        <v>508</v>
      </c>
      <c r="N32" s="154"/>
      <c r="O32" s="150"/>
      <c r="P32" s="153">
        <v>4940</v>
      </c>
      <c r="Q32" s="154" t="s">
        <v>508</v>
      </c>
      <c r="R32" s="153">
        <v>11</v>
      </c>
      <c r="S32" s="154" t="s">
        <v>508</v>
      </c>
      <c r="T32" s="153">
        <v>4929</v>
      </c>
      <c r="U32" s="154" t="s">
        <v>508</v>
      </c>
    </row>
    <row r="33" spans="1:21" s="142" customFormat="1" ht="12.75" customHeight="1" x14ac:dyDescent="0.25">
      <c r="A33" s="151"/>
      <c r="B33" s="152"/>
      <c r="C33" s="219"/>
      <c r="D33" s="153"/>
      <c r="E33" s="154"/>
      <c r="F33" s="153"/>
      <c r="G33" s="154"/>
      <c r="H33" s="242"/>
      <c r="I33" s="154"/>
      <c r="J33" s="153"/>
      <c r="K33" s="154"/>
      <c r="L33" s="153"/>
      <c r="M33" s="154"/>
      <c r="N33" s="154"/>
      <c r="O33" s="150"/>
      <c r="P33" s="153"/>
      <c r="Q33" s="154"/>
      <c r="R33" s="153"/>
      <c r="S33" s="154"/>
      <c r="T33" s="153"/>
      <c r="U33" s="154"/>
    </row>
    <row r="34" spans="1:21" s="142" customFormat="1" ht="12.75" customHeight="1" x14ac:dyDescent="0.25">
      <c r="A34" s="151">
        <v>2010</v>
      </c>
      <c r="B34" s="152" t="s">
        <v>1</v>
      </c>
      <c r="C34" s="219"/>
      <c r="D34" s="153">
        <v>18256</v>
      </c>
      <c r="E34" s="154" t="s">
        <v>508</v>
      </c>
      <c r="F34" s="153">
        <v>2459</v>
      </c>
      <c r="G34" s="154" t="s">
        <v>508</v>
      </c>
      <c r="H34" s="242">
        <v>13.469544259421559</v>
      </c>
      <c r="I34" s="154" t="s">
        <v>508</v>
      </c>
      <c r="J34" s="153">
        <v>20</v>
      </c>
      <c r="K34" s="154" t="s">
        <v>508</v>
      </c>
      <c r="L34" s="153">
        <v>2439</v>
      </c>
      <c r="M34" s="154" t="s">
        <v>508</v>
      </c>
      <c r="N34" s="154"/>
      <c r="O34" s="150"/>
      <c r="P34" s="153">
        <v>2750</v>
      </c>
      <c r="Q34" s="154" t="s">
        <v>508</v>
      </c>
      <c r="R34" s="153">
        <v>14</v>
      </c>
      <c r="S34" s="154" t="s">
        <v>508</v>
      </c>
      <c r="T34" s="153">
        <v>2736</v>
      </c>
      <c r="U34" s="154" t="s">
        <v>508</v>
      </c>
    </row>
    <row r="35" spans="1:21" s="142" customFormat="1" ht="12.75" customHeight="1" x14ac:dyDescent="0.25">
      <c r="A35" s="151"/>
      <c r="B35" s="152" t="s">
        <v>2</v>
      </c>
      <c r="C35" s="219"/>
      <c r="D35" s="153">
        <v>14982</v>
      </c>
      <c r="E35" s="154" t="s">
        <v>508</v>
      </c>
      <c r="F35" s="153">
        <v>4254</v>
      </c>
      <c r="G35" s="154" t="s">
        <v>508</v>
      </c>
      <c r="H35" s="242">
        <v>28.394072887464961</v>
      </c>
      <c r="I35" s="154" t="s">
        <v>508</v>
      </c>
      <c r="J35" s="153">
        <v>25</v>
      </c>
      <c r="K35" s="154" t="s">
        <v>508</v>
      </c>
      <c r="L35" s="153">
        <v>4229</v>
      </c>
      <c r="M35" s="154" t="s">
        <v>508</v>
      </c>
      <c r="N35" s="154"/>
      <c r="O35" s="150"/>
      <c r="P35" s="153">
        <v>3103</v>
      </c>
      <c r="Q35" s="154" t="s">
        <v>508</v>
      </c>
      <c r="R35" s="153" t="s">
        <v>67</v>
      </c>
      <c r="S35" s="154" t="s">
        <v>508</v>
      </c>
      <c r="T35" s="153" t="s">
        <v>67</v>
      </c>
      <c r="U35" s="154" t="s">
        <v>508</v>
      </c>
    </row>
    <row r="36" spans="1:21" s="142" customFormat="1" ht="12.75" customHeight="1" x14ac:dyDescent="0.25">
      <c r="A36" s="151"/>
      <c r="B36" s="152" t="s">
        <v>3</v>
      </c>
      <c r="C36" s="219"/>
      <c r="D36" s="153">
        <v>13907</v>
      </c>
      <c r="E36" s="154" t="s">
        <v>508</v>
      </c>
      <c r="F36" s="153">
        <v>3433</v>
      </c>
      <c r="G36" s="154" t="s">
        <v>508</v>
      </c>
      <c r="H36" s="242">
        <v>24.685410225066512</v>
      </c>
      <c r="I36" s="154" t="s">
        <v>508</v>
      </c>
      <c r="J36" s="153">
        <v>19</v>
      </c>
      <c r="K36" s="154" t="s">
        <v>508</v>
      </c>
      <c r="L36" s="153">
        <v>3414</v>
      </c>
      <c r="M36" s="154" t="s">
        <v>508</v>
      </c>
      <c r="N36" s="154"/>
      <c r="O36" s="150"/>
      <c r="P36" s="153">
        <v>4401</v>
      </c>
      <c r="Q36" s="154" t="s">
        <v>508</v>
      </c>
      <c r="R36" s="153" t="s">
        <v>67</v>
      </c>
      <c r="S36" s="154" t="s">
        <v>508</v>
      </c>
      <c r="T36" s="153" t="s">
        <v>67</v>
      </c>
      <c r="U36" s="154" t="s">
        <v>508</v>
      </c>
    </row>
    <row r="37" spans="1:21" s="142" customFormat="1" ht="12.75" customHeight="1" x14ac:dyDescent="0.25">
      <c r="A37" s="151"/>
      <c r="B37" s="152" t="s">
        <v>4</v>
      </c>
      <c r="C37" s="219"/>
      <c r="D37" s="153">
        <v>12028</v>
      </c>
      <c r="E37" s="154" t="s">
        <v>508</v>
      </c>
      <c r="F37" s="153">
        <v>1979</v>
      </c>
      <c r="G37" s="154" t="s">
        <v>508</v>
      </c>
      <c r="H37" s="242">
        <v>16.453275690056536</v>
      </c>
      <c r="I37" s="154" t="s">
        <v>508</v>
      </c>
      <c r="J37" s="153">
        <v>33</v>
      </c>
      <c r="K37" s="154" t="s">
        <v>508</v>
      </c>
      <c r="L37" s="153">
        <v>1946</v>
      </c>
      <c r="M37" s="154" t="s">
        <v>508</v>
      </c>
      <c r="N37" s="154"/>
      <c r="O37" s="150"/>
      <c r="P37" s="153">
        <v>2637</v>
      </c>
      <c r="Q37" s="154" t="s">
        <v>508</v>
      </c>
      <c r="R37" s="153" t="s">
        <v>67</v>
      </c>
      <c r="S37" s="154" t="s">
        <v>508</v>
      </c>
      <c r="T37" s="153" t="s">
        <v>67</v>
      </c>
      <c r="U37" s="154" t="s">
        <v>508</v>
      </c>
    </row>
    <row r="38" spans="1:21" s="142" customFormat="1" ht="12.75" customHeight="1" x14ac:dyDescent="0.25">
      <c r="A38" s="151"/>
      <c r="B38" s="152"/>
      <c r="C38" s="219"/>
      <c r="D38" s="153"/>
      <c r="E38" s="154"/>
      <c r="F38" s="153"/>
      <c r="G38" s="154"/>
      <c r="H38" s="242"/>
      <c r="I38" s="154"/>
      <c r="J38" s="153"/>
      <c r="K38" s="154"/>
      <c r="L38" s="153"/>
      <c r="M38" s="154"/>
      <c r="N38" s="154"/>
      <c r="O38" s="150"/>
      <c r="P38" s="153"/>
      <c r="Q38" s="154"/>
      <c r="R38" s="153"/>
      <c r="S38" s="154"/>
      <c r="T38" s="153"/>
      <c r="U38" s="154"/>
    </row>
    <row r="39" spans="1:21" s="142" customFormat="1" ht="12.75" customHeight="1" x14ac:dyDescent="0.25">
      <c r="A39" s="151">
        <v>2011</v>
      </c>
      <c r="B39" s="152" t="s">
        <v>1</v>
      </c>
      <c r="C39" s="219"/>
      <c r="D39" s="153">
        <v>12539</v>
      </c>
      <c r="E39" s="154" t="s">
        <v>508</v>
      </c>
      <c r="F39" s="153">
        <v>1691</v>
      </c>
      <c r="G39" s="154" t="s">
        <v>508</v>
      </c>
      <c r="H39" s="242">
        <v>13.485923917377782</v>
      </c>
      <c r="I39" s="154" t="s">
        <v>508</v>
      </c>
      <c r="J39" s="153">
        <v>24</v>
      </c>
      <c r="K39" s="154" t="s">
        <v>508</v>
      </c>
      <c r="L39" s="153">
        <v>1667</v>
      </c>
      <c r="M39" s="154" t="s">
        <v>508</v>
      </c>
      <c r="N39" s="154"/>
      <c r="O39" s="150"/>
      <c r="P39" s="153">
        <v>2250</v>
      </c>
      <c r="Q39" s="154" t="s">
        <v>508</v>
      </c>
      <c r="R39" s="153" t="s">
        <v>67</v>
      </c>
      <c r="S39" s="154" t="s">
        <v>508</v>
      </c>
      <c r="T39" s="153" t="s">
        <v>67</v>
      </c>
      <c r="U39" s="154" t="s">
        <v>508</v>
      </c>
    </row>
    <row r="40" spans="1:21" s="142" customFormat="1" ht="12.75" customHeight="1" x14ac:dyDescent="0.25">
      <c r="A40" s="151"/>
      <c r="B40" s="152" t="s">
        <v>2</v>
      </c>
      <c r="C40" s="219"/>
      <c r="D40" s="153">
        <v>11101</v>
      </c>
      <c r="E40" s="154" t="s">
        <v>508</v>
      </c>
      <c r="F40" s="153">
        <v>3099</v>
      </c>
      <c r="G40" s="154" t="s">
        <v>508</v>
      </c>
      <c r="H40" s="242">
        <v>27.916403927574091</v>
      </c>
      <c r="I40" s="154" t="s">
        <v>508</v>
      </c>
      <c r="J40" s="153">
        <v>26</v>
      </c>
      <c r="K40" s="154" t="s">
        <v>508</v>
      </c>
      <c r="L40" s="153">
        <v>3073</v>
      </c>
      <c r="M40" s="154" t="s">
        <v>508</v>
      </c>
      <c r="N40" s="154"/>
      <c r="O40" s="150"/>
      <c r="P40" s="153">
        <v>2206</v>
      </c>
      <c r="Q40" s="154" t="s">
        <v>508</v>
      </c>
      <c r="R40" s="153">
        <v>23</v>
      </c>
      <c r="S40" s="154" t="s">
        <v>508</v>
      </c>
      <c r="T40" s="153">
        <v>2183</v>
      </c>
      <c r="U40" s="154" t="s">
        <v>508</v>
      </c>
    </row>
    <row r="41" spans="1:21" s="142" customFormat="1" ht="12.75" customHeight="1" x14ac:dyDescent="0.25">
      <c r="A41" s="151"/>
      <c r="B41" s="152" t="s">
        <v>3</v>
      </c>
      <c r="C41" s="219"/>
      <c r="D41" s="153">
        <v>9578</v>
      </c>
      <c r="E41" s="154" t="s">
        <v>508</v>
      </c>
      <c r="F41" s="153">
        <v>2791</v>
      </c>
      <c r="G41" s="154" t="s">
        <v>508</v>
      </c>
      <c r="H41" s="242">
        <v>29.139695134683652</v>
      </c>
      <c r="I41" s="154" t="s">
        <v>508</v>
      </c>
      <c r="J41" s="153">
        <v>32</v>
      </c>
      <c r="K41" s="154" t="s">
        <v>508</v>
      </c>
      <c r="L41" s="153">
        <v>2759</v>
      </c>
      <c r="M41" s="154" t="s">
        <v>508</v>
      </c>
      <c r="N41" s="154"/>
      <c r="O41" s="150"/>
      <c r="P41" s="153">
        <v>3350</v>
      </c>
      <c r="Q41" s="154" t="s">
        <v>508</v>
      </c>
      <c r="R41" s="153">
        <v>35</v>
      </c>
      <c r="S41" s="154" t="s">
        <v>508</v>
      </c>
      <c r="T41" s="153">
        <v>3315</v>
      </c>
      <c r="U41" s="154" t="s">
        <v>508</v>
      </c>
    </row>
    <row r="42" spans="1:21" s="142" customFormat="1" ht="12.75" customHeight="1" x14ac:dyDescent="0.25">
      <c r="A42" s="151"/>
      <c r="B42" s="152" t="s">
        <v>4</v>
      </c>
      <c r="C42" s="219"/>
      <c r="D42" s="153">
        <v>8658</v>
      </c>
      <c r="E42" s="154" t="s">
        <v>508</v>
      </c>
      <c r="F42" s="153">
        <v>2127</v>
      </c>
      <c r="G42" s="154" t="s">
        <v>508</v>
      </c>
      <c r="H42" s="242">
        <v>24.566874566874567</v>
      </c>
      <c r="I42" s="154" t="s">
        <v>508</v>
      </c>
      <c r="J42" s="153">
        <v>11</v>
      </c>
      <c r="K42" s="154" t="s">
        <v>508</v>
      </c>
      <c r="L42" s="153">
        <v>2116</v>
      </c>
      <c r="M42" s="154" t="s">
        <v>508</v>
      </c>
      <c r="N42" s="154"/>
      <c r="O42" s="150"/>
      <c r="P42" s="153">
        <v>2837</v>
      </c>
      <c r="Q42" s="154" t="s">
        <v>508</v>
      </c>
      <c r="R42" s="153">
        <v>32</v>
      </c>
      <c r="S42" s="154" t="s">
        <v>508</v>
      </c>
      <c r="T42" s="153">
        <v>2805</v>
      </c>
      <c r="U42" s="154" t="s">
        <v>508</v>
      </c>
    </row>
    <row r="43" spans="1:21" s="142" customFormat="1" ht="12.75" customHeight="1" x14ac:dyDescent="0.25">
      <c r="A43" s="151"/>
      <c r="B43" s="152"/>
      <c r="C43" s="219"/>
      <c r="D43" s="153"/>
      <c r="E43" s="154"/>
      <c r="F43" s="153"/>
      <c r="G43" s="154"/>
      <c r="H43" s="242"/>
      <c r="I43" s="154"/>
      <c r="J43" s="153"/>
      <c r="K43" s="154"/>
      <c r="L43" s="153"/>
      <c r="M43" s="154"/>
      <c r="N43" s="154"/>
      <c r="O43" s="150"/>
      <c r="P43" s="153"/>
      <c r="Q43" s="154"/>
      <c r="R43" s="153"/>
      <c r="S43" s="154"/>
      <c r="T43" s="153"/>
      <c r="U43" s="154"/>
    </row>
    <row r="44" spans="1:21" s="142" customFormat="1" ht="12.75" customHeight="1" x14ac:dyDescent="0.25">
      <c r="A44" s="151">
        <v>2012</v>
      </c>
      <c r="B44" s="152" t="s">
        <v>1</v>
      </c>
      <c r="C44" s="219"/>
      <c r="D44" s="153">
        <v>9132</v>
      </c>
      <c r="E44" s="154" t="s">
        <v>508</v>
      </c>
      <c r="F44" s="153">
        <v>1273</v>
      </c>
      <c r="G44" s="154" t="s">
        <v>508</v>
      </c>
      <c r="H44" s="242">
        <v>13.939991239597022</v>
      </c>
      <c r="I44" s="154" t="s">
        <v>508</v>
      </c>
      <c r="J44" s="153">
        <v>14</v>
      </c>
      <c r="K44" s="154" t="s">
        <v>508</v>
      </c>
      <c r="L44" s="153">
        <v>1259</v>
      </c>
      <c r="M44" s="154" t="s">
        <v>508</v>
      </c>
      <c r="N44" s="154"/>
      <c r="O44" s="150"/>
      <c r="P44" s="153">
        <v>1765</v>
      </c>
      <c r="Q44" s="154" t="s">
        <v>508</v>
      </c>
      <c r="R44" s="153">
        <v>29</v>
      </c>
      <c r="S44" s="154" t="s">
        <v>508</v>
      </c>
      <c r="T44" s="153">
        <v>1736</v>
      </c>
      <c r="U44" s="154" t="s">
        <v>508</v>
      </c>
    </row>
    <row r="45" spans="1:21" s="142" customFormat="1" ht="12.75" customHeight="1" x14ac:dyDescent="0.25">
      <c r="A45" s="151"/>
      <c r="B45" s="152" t="s">
        <v>2</v>
      </c>
      <c r="C45" s="219"/>
      <c r="D45" s="153">
        <v>8092</v>
      </c>
      <c r="E45" s="154" t="s">
        <v>508</v>
      </c>
      <c r="F45" s="153">
        <v>1986</v>
      </c>
      <c r="G45" s="154" t="s">
        <v>508</v>
      </c>
      <c r="H45" s="242">
        <v>24.5427582797825</v>
      </c>
      <c r="I45" s="154" t="s">
        <v>508</v>
      </c>
      <c r="J45" s="153">
        <v>15</v>
      </c>
      <c r="K45" s="154" t="s">
        <v>508</v>
      </c>
      <c r="L45" s="153">
        <v>1971</v>
      </c>
      <c r="M45" s="154" t="s">
        <v>508</v>
      </c>
      <c r="N45" s="154"/>
      <c r="O45" s="150"/>
      <c r="P45" s="153">
        <v>1451</v>
      </c>
      <c r="Q45" s="154" t="s">
        <v>508</v>
      </c>
      <c r="R45" s="153">
        <v>19</v>
      </c>
      <c r="S45" s="154" t="s">
        <v>508</v>
      </c>
      <c r="T45" s="153">
        <v>1432</v>
      </c>
      <c r="U45" s="154" t="s">
        <v>508</v>
      </c>
    </row>
    <row r="46" spans="1:21" s="142" customFormat="1" ht="12.75" customHeight="1" x14ac:dyDescent="0.25">
      <c r="A46" s="151"/>
      <c r="B46" s="152" t="s">
        <v>3</v>
      </c>
      <c r="C46" s="219"/>
      <c r="D46" s="153">
        <v>7642</v>
      </c>
      <c r="E46" s="154" t="s">
        <v>508</v>
      </c>
      <c r="F46" s="153">
        <v>1839</v>
      </c>
      <c r="G46" s="154" t="s">
        <v>508</v>
      </c>
      <c r="H46" s="242">
        <v>24.064381052080609</v>
      </c>
      <c r="I46" s="154" t="s">
        <v>508</v>
      </c>
      <c r="J46" s="153">
        <v>18</v>
      </c>
      <c r="K46" s="154" t="s">
        <v>508</v>
      </c>
      <c r="L46" s="153">
        <v>1821</v>
      </c>
      <c r="M46" s="154" t="s">
        <v>508</v>
      </c>
      <c r="N46" s="154"/>
      <c r="O46" s="150"/>
      <c r="P46" s="153">
        <v>2048</v>
      </c>
      <c r="Q46" s="154" t="s">
        <v>508</v>
      </c>
      <c r="R46" s="153">
        <v>22</v>
      </c>
      <c r="S46" s="154" t="s">
        <v>508</v>
      </c>
      <c r="T46" s="153">
        <v>2026</v>
      </c>
      <c r="U46" s="154" t="s">
        <v>508</v>
      </c>
    </row>
    <row r="47" spans="1:21" s="142" customFormat="1" ht="12.75" customHeight="1" x14ac:dyDescent="0.25">
      <c r="A47" s="151"/>
      <c r="B47" s="152" t="s">
        <v>4</v>
      </c>
      <c r="C47" s="219"/>
      <c r="D47" s="153">
        <v>6921</v>
      </c>
      <c r="E47" s="154" t="s">
        <v>508</v>
      </c>
      <c r="F47" s="153">
        <v>1318</v>
      </c>
      <c r="G47" s="154" t="s">
        <v>508</v>
      </c>
      <c r="H47" s="242">
        <v>19.043490825025287</v>
      </c>
      <c r="I47" s="154" t="s">
        <v>508</v>
      </c>
      <c r="J47" s="153">
        <v>2</v>
      </c>
      <c r="K47" s="154" t="s">
        <v>508</v>
      </c>
      <c r="L47" s="153">
        <v>1316</v>
      </c>
      <c r="M47" s="154" t="s">
        <v>508</v>
      </c>
      <c r="N47" s="154"/>
      <c r="O47" s="150"/>
      <c r="P47" s="153">
        <v>1755</v>
      </c>
      <c r="Q47" s="154" t="s">
        <v>508</v>
      </c>
      <c r="R47" s="153">
        <v>18</v>
      </c>
      <c r="S47" s="154" t="s">
        <v>508</v>
      </c>
      <c r="T47" s="153">
        <v>1737</v>
      </c>
      <c r="U47" s="154" t="s">
        <v>508</v>
      </c>
    </row>
    <row r="48" spans="1:21" s="142" customFormat="1" ht="12.75" customHeight="1" x14ac:dyDescent="0.25">
      <c r="A48" s="151"/>
      <c r="B48" s="152"/>
      <c r="C48" s="219"/>
      <c r="D48" s="153"/>
      <c r="E48" s="154"/>
      <c r="F48" s="153"/>
      <c r="G48" s="154"/>
      <c r="H48" s="242"/>
      <c r="I48" s="154"/>
      <c r="J48" s="153"/>
      <c r="K48" s="154"/>
      <c r="L48" s="153"/>
      <c r="M48" s="154"/>
      <c r="N48" s="154"/>
      <c r="O48" s="150"/>
      <c r="P48" s="153"/>
      <c r="Q48" s="154"/>
      <c r="R48" s="153"/>
      <c r="S48" s="154"/>
      <c r="T48" s="153"/>
      <c r="U48" s="154"/>
    </row>
    <row r="49" spans="1:21" s="142" customFormat="1" ht="12.75" customHeight="1" x14ac:dyDescent="0.25">
      <c r="A49" s="151">
        <v>2013</v>
      </c>
      <c r="B49" s="152" t="s">
        <v>1</v>
      </c>
      <c r="C49" s="219"/>
      <c r="D49" s="153">
        <v>6673</v>
      </c>
      <c r="E49" s="154" t="s">
        <v>508</v>
      </c>
      <c r="F49" s="153">
        <v>745</v>
      </c>
      <c r="G49" s="154" t="s">
        <v>508</v>
      </c>
      <c r="H49" s="242">
        <v>11.164393825865428</v>
      </c>
      <c r="I49" s="154" t="s">
        <v>508</v>
      </c>
      <c r="J49" s="153">
        <v>12</v>
      </c>
      <c r="K49" s="154" t="s">
        <v>508</v>
      </c>
      <c r="L49" s="153">
        <v>733</v>
      </c>
      <c r="M49" s="154" t="s">
        <v>508</v>
      </c>
      <c r="N49" s="154"/>
      <c r="O49" s="150"/>
      <c r="P49" s="153">
        <v>1219</v>
      </c>
      <c r="Q49" s="154" t="s">
        <v>508</v>
      </c>
      <c r="R49" s="153">
        <v>12</v>
      </c>
      <c r="S49" s="154" t="s">
        <v>508</v>
      </c>
      <c r="T49" s="153">
        <v>1207</v>
      </c>
      <c r="U49" s="154" t="s">
        <v>508</v>
      </c>
    </row>
    <row r="50" spans="1:21" s="142" customFormat="1" ht="12.75" customHeight="1" x14ac:dyDescent="0.25">
      <c r="A50" s="151"/>
      <c r="B50" s="152" t="s">
        <v>2</v>
      </c>
      <c r="C50" s="219"/>
      <c r="D50" s="153">
        <v>6480</v>
      </c>
      <c r="E50" s="154" t="s">
        <v>508</v>
      </c>
      <c r="F50" s="153">
        <v>1518</v>
      </c>
      <c r="G50" s="154" t="s">
        <v>508</v>
      </c>
      <c r="H50" s="242">
        <v>23.425925925925924</v>
      </c>
      <c r="I50" s="154" t="s">
        <v>508</v>
      </c>
      <c r="J50" s="153">
        <v>9</v>
      </c>
      <c r="K50" s="154" t="s">
        <v>508</v>
      </c>
      <c r="L50" s="153">
        <v>1509</v>
      </c>
      <c r="M50" s="154" t="s">
        <v>508</v>
      </c>
      <c r="N50" s="154"/>
      <c r="O50" s="150"/>
      <c r="P50" s="153">
        <v>1039</v>
      </c>
      <c r="Q50" s="154" t="s">
        <v>508</v>
      </c>
      <c r="R50" s="153">
        <v>13</v>
      </c>
      <c r="S50" s="154" t="s">
        <v>508</v>
      </c>
      <c r="T50" s="153">
        <v>1026</v>
      </c>
      <c r="U50" s="154" t="s">
        <v>508</v>
      </c>
    </row>
    <row r="51" spans="1:21" s="142" customFormat="1" ht="12.75" customHeight="1" x14ac:dyDescent="0.25">
      <c r="A51" s="151"/>
      <c r="B51" s="152" t="s">
        <v>3</v>
      </c>
      <c r="C51" s="219"/>
      <c r="D51" s="153">
        <v>6009</v>
      </c>
      <c r="E51" s="154" t="s">
        <v>508</v>
      </c>
      <c r="F51" s="153">
        <v>1244</v>
      </c>
      <c r="G51" s="154" t="s">
        <v>508</v>
      </c>
      <c r="H51" s="242">
        <v>20.702279913463141</v>
      </c>
      <c r="I51" s="154" t="s">
        <v>508</v>
      </c>
      <c r="J51" s="153">
        <v>15</v>
      </c>
      <c r="K51" s="154" t="s">
        <v>508</v>
      </c>
      <c r="L51" s="153">
        <v>1229</v>
      </c>
      <c r="M51" s="154" t="s">
        <v>508</v>
      </c>
      <c r="N51" s="154"/>
      <c r="O51" s="150"/>
      <c r="P51" s="153">
        <v>1342</v>
      </c>
      <c r="Q51" s="154" t="s">
        <v>508</v>
      </c>
      <c r="R51" s="153">
        <v>22</v>
      </c>
      <c r="S51" s="154" t="s">
        <v>508</v>
      </c>
      <c r="T51" s="153">
        <v>1320</v>
      </c>
      <c r="U51" s="154" t="s">
        <v>508</v>
      </c>
    </row>
    <row r="52" spans="1:21" s="142" customFormat="1" ht="12.75" customHeight="1" x14ac:dyDescent="0.25">
      <c r="A52" s="151"/>
      <c r="B52" s="152" t="s">
        <v>4</v>
      </c>
      <c r="C52" s="219"/>
      <c r="D52" s="153">
        <v>5409</v>
      </c>
      <c r="E52" s="154" t="s">
        <v>508</v>
      </c>
      <c r="F52" s="153">
        <v>980</v>
      </c>
      <c r="G52" s="154" t="s">
        <v>508</v>
      </c>
      <c r="H52" s="242">
        <v>18.117951562211129</v>
      </c>
      <c r="I52" s="154" t="s">
        <v>508</v>
      </c>
      <c r="J52" s="153">
        <v>17</v>
      </c>
      <c r="K52" s="154" t="s">
        <v>508</v>
      </c>
      <c r="L52" s="153">
        <v>963</v>
      </c>
      <c r="M52" s="154" t="s">
        <v>508</v>
      </c>
      <c r="N52" s="154"/>
      <c r="O52" s="150"/>
      <c r="P52" s="153">
        <v>1204</v>
      </c>
      <c r="Q52" s="154" t="s">
        <v>508</v>
      </c>
      <c r="R52" s="153">
        <v>11</v>
      </c>
      <c r="S52" s="154" t="s">
        <v>508</v>
      </c>
      <c r="T52" s="153">
        <v>1193</v>
      </c>
      <c r="U52" s="154" t="s">
        <v>508</v>
      </c>
    </row>
    <row r="53" spans="1:21" s="142" customFormat="1" ht="12.75" customHeight="1" x14ac:dyDescent="0.25">
      <c r="A53" s="151"/>
      <c r="B53" s="152"/>
      <c r="C53" s="219"/>
      <c r="D53" s="153"/>
      <c r="E53" s="154"/>
      <c r="F53" s="153"/>
      <c r="G53" s="154"/>
      <c r="H53" s="242"/>
      <c r="I53" s="154"/>
      <c r="J53" s="153"/>
      <c r="K53" s="154"/>
      <c r="L53" s="153"/>
      <c r="M53" s="154"/>
      <c r="N53" s="154"/>
      <c r="O53" s="150"/>
      <c r="P53" s="153"/>
      <c r="Q53" s="154"/>
      <c r="R53" s="153"/>
      <c r="S53" s="154"/>
      <c r="T53" s="153"/>
      <c r="U53" s="154"/>
    </row>
    <row r="54" spans="1:21" s="142" customFormat="1" ht="12.75" customHeight="1" x14ac:dyDescent="0.25">
      <c r="A54" s="151">
        <v>2014</v>
      </c>
      <c r="B54" s="152" t="s">
        <v>1</v>
      </c>
      <c r="C54" s="219"/>
      <c r="D54" s="153">
        <v>5681</v>
      </c>
      <c r="E54" s="154" t="s">
        <v>508</v>
      </c>
      <c r="F54" s="153">
        <v>705</v>
      </c>
      <c r="G54" s="154" t="s">
        <v>508</v>
      </c>
      <c r="H54" s="242">
        <v>12.409787009329342</v>
      </c>
      <c r="I54" s="154" t="s">
        <v>508</v>
      </c>
      <c r="J54" s="153">
        <v>17</v>
      </c>
      <c r="K54" s="154" t="s">
        <v>508</v>
      </c>
      <c r="L54" s="153">
        <v>688</v>
      </c>
      <c r="M54" s="154" t="s">
        <v>508</v>
      </c>
      <c r="N54" s="154"/>
      <c r="O54" s="150"/>
      <c r="P54" s="153">
        <v>954</v>
      </c>
      <c r="Q54" s="154" t="s">
        <v>508</v>
      </c>
      <c r="R54" s="153">
        <v>6</v>
      </c>
      <c r="S54" s="154" t="s">
        <v>508</v>
      </c>
      <c r="T54" s="153">
        <v>948</v>
      </c>
      <c r="U54" s="154" t="s">
        <v>508</v>
      </c>
    </row>
    <row r="55" spans="1:21" s="142" customFormat="1" ht="12.75" customHeight="1" x14ac:dyDescent="0.25">
      <c r="A55" s="151"/>
      <c r="B55" s="152" t="s">
        <v>2</v>
      </c>
      <c r="C55" s="219"/>
      <c r="D55" s="153">
        <v>5475</v>
      </c>
      <c r="E55" s="154" t="s">
        <v>508</v>
      </c>
      <c r="F55" s="153">
        <v>1136</v>
      </c>
      <c r="G55" s="154" t="s">
        <v>508</v>
      </c>
      <c r="H55" s="242">
        <v>20.748858447488587</v>
      </c>
      <c r="I55" s="154" t="s">
        <v>508</v>
      </c>
      <c r="J55" s="153">
        <v>10</v>
      </c>
      <c r="K55" s="154" t="s">
        <v>508</v>
      </c>
      <c r="L55" s="153">
        <v>1126</v>
      </c>
      <c r="M55" s="154" t="s">
        <v>508</v>
      </c>
      <c r="N55" s="154"/>
      <c r="O55" s="150"/>
      <c r="P55" s="153">
        <v>797</v>
      </c>
      <c r="Q55" s="154" t="s">
        <v>508</v>
      </c>
      <c r="R55" s="153">
        <v>11</v>
      </c>
      <c r="S55" s="154" t="s">
        <v>508</v>
      </c>
      <c r="T55" s="153">
        <v>786</v>
      </c>
      <c r="U55" s="154" t="s">
        <v>508</v>
      </c>
    </row>
    <row r="56" spans="1:21" s="142" customFormat="1" ht="12.75" customHeight="1" x14ac:dyDescent="0.25">
      <c r="A56" s="151"/>
      <c r="B56" s="152" t="s">
        <v>3</v>
      </c>
      <c r="C56" s="219"/>
      <c r="D56" s="153">
        <v>4907</v>
      </c>
      <c r="E56" s="154" t="s">
        <v>508</v>
      </c>
      <c r="F56" s="153">
        <v>955</v>
      </c>
      <c r="G56" s="154" t="s">
        <v>508</v>
      </c>
      <c r="H56" s="242">
        <v>19.461993071122883</v>
      </c>
      <c r="I56" s="154" t="s">
        <v>508</v>
      </c>
      <c r="J56" s="153">
        <v>7</v>
      </c>
      <c r="K56" s="154" t="s">
        <v>508</v>
      </c>
      <c r="L56" s="153">
        <v>948</v>
      </c>
      <c r="M56" s="154" t="s">
        <v>508</v>
      </c>
      <c r="N56" s="154"/>
      <c r="O56" s="150"/>
      <c r="P56" s="153">
        <v>1085</v>
      </c>
      <c r="Q56" s="154" t="s">
        <v>508</v>
      </c>
      <c r="R56" s="153">
        <v>13</v>
      </c>
      <c r="S56" s="154" t="s">
        <v>508</v>
      </c>
      <c r="T56" s="153">
        <v>1072</v>
      </c>
      <c r="U56" s="154" t="s">
        <v>508</v>
      </c>
    </row>
    <row r="57" spans="1:21" s="142" customFormat="1" ht="12.75" customHeight="1" x14ac:dyDescent="0.25">
      <c r="A57" s="151"/>
      <c r="B57" s="152" t="s">
        <v>4</v>
      </c>
      <c r="C57" s="219"/>
      <c r="D57" s="153">
        <v>4282</v>
      </c>
      <c r="E57" s="154" t="s">
        <v>508</v>
      </c>
      <c r="F57" s="153">
        <v>684</v>
      </c>
      <c r="G57" s="154" t="s">
        <v>508</v>
      </c>
      <c r="H57" s="242">
        <v>15.973843998131715</v>
      </c>
      <c r="I57" s="154" t="s">
        <v>508</v>
      </c>
      <c r="J57" s="153">
        <v>3</v>
      </c>
      <c r="K57" s="154" t="s">
        <v>508</v>
      </c>
      <c r="L57" s="153">
        <v>681</v>
      </c>
      <c r="M57" s="154" t="s">
        <v>508</v>
      </c>
      <c r="N57" s="154"/>
      <c r="O57" s="150"/>
      <c r="P57" s="153">
        <v>971</v>
      </c>
      <c r="Q57" s="154" t="s">
        <v>508</v>
      </c>
      <c r="R57" s="153">
        <v>9</v>
      </c>
      <c r="S57" s="154" t="s">
        <v>508</v>
      </c>
      <c r="T57" s="153">
        <v>962</v>
      </c>
      <c r="U57" s="154" t="s">
        <v>508</v>
      </c>
    </row>
    <row r="58" spans="1:21" s="142" customFormat="1" ht="12.75" customHeight="1" x14ac:dyDescent="0.25">
      <c r="A58" s="151"/>
      <c r="B58" s="152"/>
      <c r="C58" s="219"/>
      <c r="D58" s="153"/>
      <c r="E58" s="154"/>
      <c r="F58" s="153"/>
      <c r="G58" s="154"/>
      <c r="H58" s="242"/>
      <c r="I58" s="154"/>
      <c r="J58" s="153"/>
      <c r="K58" s="154"/>
      <c r="L58" s="153"/>
      <c r="M58" s="154"/>
      <c r="N58" s="154"/>
      <c r="O58" s="150"/>
      <c r="P58" s="153"/>
      <c r="Q58" s="154"/>
      <c r="R58" s="153"/>
      <c r="S58" s="154"/>
      <c r="T58" s="153"/>
      <c r="U58" s="154"/>
    </row>
    <row r="59" spans="1:21" s="142" customFormat="1" ht="12.75" customHeight="1" x14ac:dyDescent="0.25">
      <c r="A59" s="151">
        <v>2015</v>
      </c>
      <c r="B59" s="152" t="s">
        <v>1</v>
      </c>
      <c r="C59" s="219"/>
      <c r="D59" s="153">
        <v>4404</v>
      </c>
      <c r="E59" s="154" t="s">
        <v>508</v>
      </c>
      <c r="F59" s="153">
        <v>478</v>
      </c>
      <c r="G59" s="154" t="s">
        <v>508</v>
      </c>
      <c r="H59" s="242">
        <v>10.853769300635786</v>
      </c>
      <c r="I59" s="154" t="s">
        <v>508</v>
      </c>
      <c r="J59" s="153">
        <v>6</v>
      </c>
      <c r="K59" s="154" t="s">
        <v>508</v>
      </c>
      <c r="L59" s="153">
        <v>472</v>
      </c>
      <c r="M59" s="154" t="s">
        <v>508</v>
      </c>
      <c r="N59" s="154"/>
      <c r="O59" s="150"/>
      <c r="P59" s="153">
        <v>631</v>
      </c>
      <c r="Q59" s="154" t="s">
        <v>508</v>
      </c>
      <c r="R59" s="153">
        <v>15</v>
      </c>
      <c r="S59" s="154" t="s">
        <v>508</v>
      </c>
      <c r="T59" s="153">
        <v>616</v>
      </c>
      <c r="U59" s="154" t="s">
        <v>508</v>
      </c>
    </row>
    <row r="60" spans="1:21" s="142" customFormat="1" ht="12.75" customHeight="1" x14ac:dyDescent="0.25">
      <c r="A60" s="151"/>
      <c r="B60" s="152" t="s">
        <v>2</v>
      </c>
      <c r="C60" s="219"/>
      <c r="D60" s="153">
        <v>3975</v>
      </c>
      <c r="E60" s="154" t="s">
        <v>508</v>
      </c>
      <c r="F60" s="153">
        <v>762</v>
      </c>
      <c r="G60" s="154" t="s">
        <v>508</v>
      </c>
      <c r="H60" s="242">
        <v>19.169811320754718</v>
      </c>
      <c r="I60" s="154" t="s">
        <v>508</v>
      </c>
      <c r="J60" s="153">
        <v>4</v>
      </c>
      <c r="K60" s="154" t="s">
        <v>508</v>
      </c>
      <c r="L60" s="153">
        <v>758</v>
      </c>
      <c r="M60" s="154" t="s">
        <v>508</v>
      </c>
      <c r="N60" s="154"/>
      <c r="O60" s="150"/>
      <c r="P60" s="153">
        <v>558</v>
      </c>
      <c r="Q60" s="154" t="s">
        <v>508</v>
      </c>
      <c r="R60" s="153">
        <v>14</v>
      </c>
      <c r="S60" s="154" t="s">
        <v>508</v>
      </c>
      <c r="T60" s="153">
        <v>544</v>
      </c>
      <c r="U60" s="154" t="s">
        <v>508</v>
      </c>
    </row>
    <row r="61" spans="1:21" s="142" customFormat="1" ht="12.75" customHeight="1" x14ac:dyDescent="0.25">
      <c r="A61" s="151"/>
      <c r="B61" s="152" t="s">
        <v>3</v>
      </c>
      <c r="C61" s="219"/>
      <c r="D61" s="153">
        <v>3896</v>
      </c>
      <c r="E61" s="154" t="s">
        <v>508</v>
      </c>
      <c r="F61" s="153">
        <v>742</v>
      </c>
      <c r="G61" s="154" t="s">
        <v>508</v>
      </c>
      <c r="H61" s="242">
        <v>19.04517453798768</v>
      </c>
      <c r="I61" s="154" t="s">
        <v>508</v>
      </c>
      <c r="J61" s="153">
        <v>2</v>
      </c>
      <c r="K61" s="154" t="s">
        <v>508</v>
      </c>
      <c r="L61" s="153">
        <v>740</v>
      </c>
      <c r="M61" s="154" t="s">
        <v>508</v>
      </c>
      <c r="N61" s="154"/>
      <c r="O61" s="150"/>
      <c r="P61" s="153">
        <v>757</v>
      </c>
      <c r="Q61" s="154" t="s">
        <v>508</v>
      </c>
      <c r="R61" s="153">
        <v>12</v>
      </c>
      <c r="S61" s="154" t="s">
        <v>508</v>
      </c>
      <c r="T61" s="153">
        <v>745</v>
      </c>
      <c r="U61" s="154" t="s">
        <v>508</v>
      </c>
    </row>
    <row r="62" spans="1:21" s="142" customFormat="1" ht="12.75" customHeight="1" x14ac:dyDescent="0.25">
      <c r="A62" s="151"/>
      <c r="B62" s="152" t="s">
        <v>4</v>
      </c>
      <c r="C62" s="219"/>
      <c r="D62" s="153">
        <v>3570</v>
      </c>
      <c r="E62" s="154" t="s">
        <v>508</v>
      </c>
      <c r="F62" s="153">
        <v>497</v>
      </c>
      <c r="G62" s="154" t="s">
        <v>508</v>
      </c>
      <c r="H62" s="242">
        <v>13.921568627450981</v>
      </c>
      <c r="I62" s="154" t="s">
        <v>508</v>
      </c>
      <c r="J62" s="153">
        <v>1</v>
      </c>
      <c r="K62" s="154" t="s">
        <v>508</v>
      </c>
      <c r="L62" s="153">
        <v>496</v>
      </c>
      <c r="M62" s="154" t="s">
        <v>508</v>
      </c>
      <c r="N62" s="154"/>
      <c r="O62" s="150"/>
      <c r="P62" s="153">
        <v>726</v>
      </c>
      <c r="Q62" s="154" t="s">
        <v>508</v>
      </c>
      <c r="R62" s="153">
        <v>12</v>
      </c>
      <c r="S62" s="154" t="s">
        <v>508</v>
      </c>
      <c r="T62" s="153">
        <v>714</v>
      </c>
      <c r="U62" s="154" t="s">
        <v>508</v>
      </c>
    </row>
    <row r="63" spans="1:21" s="142" customFormat="1" ht="12.75" customHeight="1" x14ac:dyDescent="0.25">
      <c r="A63" s="151"/>
      <c r="B63" s="152"/>
      <c r="C63" s="219"/>
      <c r="D63" s="153"/>
      <c r="E63" s="154"/>
      <c r="F63" s="153"/>
      <c r="G63" s="154"/>
      <c r="H63" s="242"/>
      <c r="I63" s="154"/>
      <c r="J63" s="153"/>
      <c r="K63" s="154"/>
      <c r="L63" s="153"/>
      <c r="M63" s="154"/>
      <c r="N63" s="154"/>
      <c r="O63" s="150"/>
      <c r="P63" s="153"/>
      <c r="Q63" s="154"/>
      <c r="R63" s="153"/>
      <c r="S63" s="154"/>
      <c r="T63" s="153"/>
      <c r="U63" s="154"/>
    </row>
    <row r="64" spans="1:21" s="142" customFormat="1" ht="12.75" customHeight="1" x14ac:dyDescent="0.25">
      <c r="A64" s="151">
        <v>2016</v>
      </c>
      <c r="B64" s="152" t="s">
        <v>1</v>
      </c>
      <c r="C64" s="219" t="s">
        <v>197</v>
      </c>
      <c r="D64" s="153">
        <v>3775</v>
      </c>
      <c r="E64" s="154" t="s">
        <v>508</v>
      </c>
      <c r="F64" s="153">
        <v>327</v>
      </c>
      <c r="G64" s="154" t="s">
        <v>508</v>
      </c>
      <c r="H64" s="242">
        <v>8.662251655629138</v>
      </c>
      <c r="I64" s="154" t="s">
        <v>508</v>
      </c>
      <c r="J64" s="153">
        <v>2</v>
      </c>
      <c r="K64" s="154" t="s">
        <v>508</v>
      </c>
      <c r="L64" s="153">
        <v>325</v>
      </c>
      <c r="M64" s="154" t="s">
        <v>508</v>
      </c>
      <c r="N64" s="154"/>
      <c r="O64" s="150"/>
      <c r="P64" s="153">
        <v>538</v>
      </c>
      <c r="Q64" s="154" t="s">
        <v>508</v>
      </c>
      <c r="R64" s="153">
        <v>4</v>
      </c>
      <c r="S64" s="154" t="s">
        <v>508</v>
      </c>
      <c r="T64" s="153">
        <v>534</v>
      </c>
      <c r="U64" s="154" t="s">
        <v>508</v>
      </c>
    </row>
    <row r="65" spans="1:27" s="142" customFormat="1" ht="12.75" customHeight="1" x14ac:dyDescent="0.25">
      <c r="A65" s="151"/>
      <c r="B65" s="152" t="s">
        <v>2</v>
      </c>
      <c r="C65" s="219" t="s">
        <v>197</v>
      </c>
      <c r="D65" s="153">
        <v>3688</v>
      </c>
      <c r="E65" s="154" t="s">
        <v>508</v>
      </c>
      <c r="F65" s="153">
        <v>713</v>
      </c>
      <c r="G65" s="154" t="s">
        <v>508</v>
      </c>
      <c r="H65" s="242">
        <v>19.332971800433839</v>
      </c>
      <c r="I65" s="154" t="s">
        <v>508</v>
      </c>
      <c r="J65" s="153">
        <v>0</v>
      </c>
      <c r="K65" s="154" t="s">
        <v>508</v>
      </c>
      <c r="L65" s="153">
        <v>713</v>
      </c>
      <c r="M65" s="154" t="s">
        <v>508</v>
      </c>
      <c r="N65" s="154"/>
      <c r="O65" s="150"/>
      <c r="P65" s="153">
        <v>516</v>
      </c>
      <c r="Q65" s="154" t="s">
        <v>508</v>
      </c>
      <c r="R65" s="153">
        <v>7</v>
      </c>
      <c r="S65" s="154" t="s">
        <v>508</v>
      </c>
      <c r="T65" s="153">
        <v>509</v>
      </c>
      <c r="U65" s="154" t="s">
        <v>508</v>
      </c>
    </row>
    <row r="66" spans="1:27" s="142" customFormat="1" ht="12.75" customHeight="1" x14ac:dyDescent="0.25">
      <c r="A66" s="151"/>
      <c r="B66" s="152" t="s">
        <v>3</v>
      </c>
      <c r="C66" s="219" t="s">
        <v>197</v>
      </c>
      <c r="D66" s="153">
        <v>3925</v>
      </c>
      <c r="E66" s="154" t="s">
        <v>508</v>
      </c>
      <c r="F66" s="153">
        <v>759</v>
      </c>
      <c r="G66" s="154" t="s">
        <v>508</v>
      </c>
      <c r="H66" s="242">
        <v>19.337579617834393</v>
      </c>
      <c r="I66" s="154" t="s">
        <v>280</v>
      </c>
      <c r="J66" s="153">
        <v>0</v>
      </c>
      <c r="K66" s="154" t="s">
        <v>508</v>
      </c>
      <c r="L66" s="153">
        <v>759</v>
      </c>
      <c r="M66" s="154" t="s">
        <v>508</v>
      </c>
      <c r="N66" s="154"/>
      <c r="O66" s="150"/>
      <c r="P66" s="153">
        <v>813</v>
      </c>
      <c r="Q66" s="154" t="s">
        <v>508</v>
      </c>
      <c r="R66" s="153">
        <v>6</v>
      </c>
      <c r="S66" s="154" t="s">
        <v>508</v>
      </c>
      <c r="T66" s="153">
        <v>807</v>
      </c>
      <c r="U66" s="154" t="s">
        <v>508</v>
      </c>
    </row>
    <row r="67" spans="1:27" s="142" customFormat="1" ht="12.75" customHeight="1" x14ac:dyDescent="0.25">
      <c r="A67" s="152"/>
      <c r="B67" s="152" t="s">
        <v>4</v>
      </c>
      <c r="C67" s="219" t="s">
        <v>508</v>
      </c>
      <c r="D67" s="153">
        <v>3618</v>
      </c>
      <c r="E67" s="154" t="s">
        <v>280</v>
      </c>
      <c r="F67" s="153" t="s">
        <v>67</v>
      </c>
      <c r="G67" s="154" t="s">
        <v>508</v>
      </c>
      <c r="H67" s="242" t="s">
        <v>67</v>
      </c>
      <c r="I67" s="154" t="s">
        <v>508</v>
      </c>
      <c r="J67" s="153" t="s">
        <v>67</v>
      </c>
      <c r="K67" s="154" t="s">
        <v>508</v>
      </c>
      <c r="L67" s="153" t="s">
        <v>67</v>
      </c>
      <c r="M67" s="154" t="s">
        <v>508</v>
      </c>
      <c r="N67" s="154"/>
      <c r="O67" s="150"/>
      <c r="P67" s="153">
        <v>758</v>
      </c>
      <c r="Q67" s="154" t="s">
        <v>508</v>
      </c>
      <c r="R67" s="153">
        <v>2</v>
      </c>
      <c r="S67" s="154" t="s">
        <v>508</v>
      </c>
      <c r="T67" s="153">
        <v>756</v>
      </c>
      <c r="U67" s="154" t="s">
        <v>508</v>
      </c>
    </row>
    <row r="68" spans="1:27" s="142" customFormat="1" ht="12.75" customHeight="1" x14ac:dyDescent="0.25">
      <c r="A68" s="151"/>
      <c r="B68" s="152"/>
      <c r="C68" s="219"/>
      <c r="D68" s="153"/>
      <c r="E68" s="154"/>
      <c r="F68" s="153"/>
      <c r="G68" s="154"/>
      <c r="H68" s="242"/>
      <c r="I68" s="154"/>
      <c r="J68" s="153"/>
      <c r="K68" s="154"/>
      <c r="L68" s="153"/>
      <c r="M68" s="154"/>
      <c r="N68" s="154"/>
      <c r="O68" s="150"/>
      <c r="P68" s="153"/>
      <c r="Q68" s="154"/>
      <c r="R68" s="153"/>
      <c r="S68" s="154"/>
      <c r="T68" s="153"/>
      <c r="U68" s="154"/>
    </row>
    <row r="69" spans="1:27" s="142" customFormat="1" ht="12.75" customHeight="1" x14ac:dyDescent="0.25">
      <c r="A69" s="151">
        <v>2017</v>
      </c>
      <c r="B69" s="152" t="s">
        <v>1</v>
      </c>
      <c r="C69" s="219" t="s">
        <v>508</v>
      </c>
      <c r="D69" s="153">
        <v>4072</v>
      </c>
      <c r="E69" s="154" t="s">
        <v>508</v>
      </c>
      <c r="F69" s="153" t="s">
        <v>67</v>
      </c>
      <c r="G69" s="154" t="s">
        <v>508</v>
      </c>
      <c r="H69" s="242" t="s">
        <v>67</v>
      </c>
      <c r="I69" s="154" t="s">
        <v>508</v>
      </c>
      <c r="J69" s="153" t="s">
        <v>67</v>
      </c>
      <c r="K69" s="154" t="s">
        <v>508</v>
      </c>
      <c r="L69" s="153" t="s">
        <v>67</v>
      </c>
      <c r="M69" s="154" t="s">
        <v>508</v>
      </c>
      <c r="N69" s="154"/>
      <c r="O69" s="150"/>
      <c r="P69" s="153">
        <v>649</v>
      </c>
      <c r="Q69" s="154" t="s">
        <v>508</v>
      </c>
      <c r="R69" s="153">
        <v>5</v>
      </c>
      <c r="S69" s="154" t="s">
        <v>508</v>
      </c>
      <c r="T69" s="153">
        <v>644</v>
      </c>
      <c r="U69" s="154" t="s">
        <v>508</v>
      </c>
      <c r="AA69" s="142" t="s">
        <v>508</v>
      </c>
    </row>
    <row r="70" spans="1:27" s="142" customFormat="1" ht="12.75" customHeight="1" thickBot="1" x14ac:dyDescent="0.3">
      <c r="A70" s="152"/>
      <c r="B70" s="156"/>
      <c r="C70" s="220"/>
      <c r="D70" s="153"/>
      <c r="E70" s="154"/>
      <c r="F70" s="153"/>
      <c r="G70" s="154"/>
      <c r="H70" s="242"/>
      <c r="I70" s="154"/>
      <c r="J70" s="153"/>
      <c r="K70" s="154"/>
      <c r="L70" s="153"/>
      <c r="M70" s="154"/>
      <c r="N70" s="154"/>
      <c r="O70" s="150"/>
      <c r="P70" s="153"/>
      <c r="Q70" s="154"/>
      <c r="R70" s="153"/>
      <c r="S70" s="154"/>
      <c r="T70" s="153"/>
      <c r="U70" s="154"/>
    </row>
    <row r="71" spans="1:27" s="142" customFormat="1" ht="12.75" customHeight="1" x14ac:dyDescent="0.2">
      <c r="A71" s="159" t="s">
        <v>513</v>
      </c>
      <c r="B71" s="159"/>
      <c r="C71" s="221"/>
      <c r="D71" s="159"/>
      <c r="E71" s="221"/>
      <c r="F71" s="159"/>
      <c r="G71" s="221"/>
      <c r="H71" s="243"/>
      <c r="I71" s="221"/>
      <c r="J71" s="159"/>
      <c r="K71" s="221"/>
      <c r="L71" s="159"/>
      <c r="M71" s="221"/>
      <c r="N71" s="159" t="s">
        <v>509</v>
      </c>
      <c r="O71" s="221"/>
      <c r="P71" s="159"/>
      <c r="Q71" s="221"/>
      <c r="R71" s="159"/>
      <c r="S71" s="221"/>
      <c r="T71" s="159"/>
      <c r="U71" s="221"/>
    </row>
    <row r="72" spans="1:27" s="142" customFormat="1" ht="12.75" customHeight="1" x14ac:dyDescent="0.2">
      <c r="A72" s="160"/>
      <c r="B72" s="160"/>
      <c r="C72" s="161"/>
      <c r="D72" s="160"/>
      <c r="E72" s="161"/>
      <c r="F72" s="160"/>
      <c r="G72" s="161"/>
      <c r="H72" s="244"/>
      <c r="I72" s="161"/>
      <c r="J72" s="160"/>
      <c r="K72" s="161"/>
      <c r="L72" s="160"/>
      <c r="M72" s="161"/>
      <c r="N72" s="160"/>
      <c r="O72" s="161"/>
      <c r="P72" s="160"/>
      <c r="Q72" s="161"/>
      <c r="R72" s="160"/>
      <c r="S72" s="161"/>
      <c r="T72" s="160"/>
      <c r="U72" s="161"/>
    </row>
    <row r="73" spans="1:27" s="142" customFormat="1" ht="12.75" hidden="1" customHeight="1" x14ac:dyDescent="0.2">
      <c r="A73" s="162">
        <v>2016</v>
      </c>
      <c r="B73" s="163" t="s">
        <v>2</v>
      </c>
      <c r="C73" s="222"/>
      <c r="D73" s="164" t="s">
        <v>121</v>
      </c>
      <c r="E73" s="161"/>
      <c r="F73" s="164" t="s">
        <v>121</v>
      </c>
      <c r="G73" s="161"/>
      <c r="H73" s="164" t="s">
        <v>121</v>
      </c>
      <c r="I73" s="161"/>
      <c r="J73" s="164" t="s">
        <v>121</v>
      </c>
      <c r="K73" s="161"/>
      <c r="L73" s="164" t="s">
        <v>121</v>
      </c>
      <c r="M73" s="161"/>
      <c r="N73" s="162">
        <v>2016</v>
      </c>
      <c r="O73" s="222" t="s">
        <v>4</v>
      </c>
      <c r="P73" s="164" t="s">
        <v>121</v>
      </c>
      <c r="Q73" s="161"/>
      <c r="R73" s="164" t="s">
        <v>121</v>
      </c>
      <c r="S73" s="161"/>
      <c r="T73" s="164" t="s">
        <v>121</v>
      </c>
      <c r="U73" s="161"/>
    </row>
    <row r="74" spans="1:27" s="142" customFormat="1" ht="12.75" hidden="1" customHeight="1" x14ac:dyDescent="0.2">
      <c r="A74" s="165"/>
      <c r="B74" s="166"/>
      <c r="C74" s="223"/>
      <c r="D74" s="167"/>
      <c r="E74" s="281"/>
      <c r="F74" s="167"/>
      <c r="G74" s="281"/>
      <c r="H74" s="245"/>
      <c r="I74" s="281"/>
      <c r="J74" s="167"/>
      <c r="K74" s="281"/>
      <c r="L74" s="167"/>
      <c r="M74" s="281"/>
      <c r="N74" s="165"/>
      <c r="O74" s="223"/>
      <c r="P74" s="167"/>
      <c r="Q74" s="281"/>
      <c r="R74" s="167"/>
      <c r="S74" s="281"/>
      <c r="T74" s="167"/>
      <c r="U74" s="281"/>
    </row>
    <row r="75" spans="1:27" s="142" customFormat="1" ht="12.75" customHeight="1" thickBot="1" x14ac:dyDescent="0.25">
      <c r="A75" s="162">
        <v>2015</v>
      </c>
      <c r="B75" s="163" t="s">
        <v>3</v>
      </c>
      <c r="C75" s="224"/>
      <c r="D75" s="168">
        <v>7.8675496688741742</v>
      </c>
      <c r="E75" s="282"/>
      <c r="F75" s="168">
        <v>2.2911051212938016</v>
      </c>
      <c r="G75" s="282"/>
      <c r="H75" s="168">
        <v>1.5353237076587423</v>
      </c>
      <c r="I75" s="282"/>
      <c r="J75" s="168">
        <v>-100</v>
      </c>
      <c r="K75" s="282"/>
      <c r="L75" s="168">
        <v>2.5675675675675746</v>
      </c>
      <c r="M75" s="282"/>
      <c r="N75" s="162">
        <v>2016</v>
      </c>
      <c r="O75" s="222" t="s">
        <v>1</v>
      </c>
      <c r="P75" s="168">
        <v>20.631970260223053</v>
      </c>
      <c r="Q75" s="282"/>
      <c r="R75" s="168">
        <v>25</v>
      </c>
      <c r="S75" s="282"/>
      <c r="T75" s="168">
        <v>20.599250936329593</v>
      </c>
      <c r="U75" s="282"/>
    </row>
    <row r="76" spans="1:27" s="169" customFormat="1" ht="12.75" customHeight="1" x14ac:dyDescent="0.2">
      <c r="A76" s="342"/>
      <c r="B76" s="342"/>
      <c r="C76" s="342"/>
      <c r="D76" s="342"/>
      <c r="E76" s="342"/>
      <c r="F76" s="342"/>
      <c r="G76" s="342"/>
      <c r="H76" s="342"/>
      <c r="I76" s="342"/>
      <c r="J76" s="342"/>
      <c r="K76" s="342"/>
      <c r="L76" s="342"/>
      <c r="M76" s="342"/>
      <c r="N76" s="342"/>
      <c r="O76" s="342"/>
      <c r="P76" s="342"/>
      <c r="Q76" s="342"/>
      <c r="R76" s="342"/>
      <c r="S76" s="342"/>
      <c r="T76" s="342"/>
      <c r="U76" s="342"/>
    </row>
    <row r="77" spans="1:27" s="171" customFormat="1" ht="36" customHeight="1" x14ac:dyDescent="0.3">
      <c r="A77" s="340" t="s">
        <v>258</v>
      </c>
      <c r="B77" s="340"/>
      <c r="C77" s="340"/>
      <c r="D77" s="340"/>
      <c r="E77" s="340"/>
      <c r="F77" s="340"/>
      <c r="G77" s="340"/>
      <c r="H77" s="340"/>
      <c r="I77" s="340"/>
      <c r="J77" s="340"/>
      <c r="K77" s="340"/>
      <c r="L77" s="340"/>
      <c r="M77" s="340"/>
      <c r="N77" s="340"/>
      <c r="O77" s="340"/>
      <c r="P77" s="340"/>
      <c r="Q77" s="340"/>
      <c r="R77" s="340"/>
      <c r="S77" s="340"/>
      <c r="T77" s="340"/>
      <c r="U77" s="340"/>
    </row>
    <row r="78" spans="1:27" s="171" customFormat="1" ht="45" customHeight="1" x14ac:dyDescent="0.3">
      <c r="A78" s="340" t="s">
        <v>259</v>
      </c>
      <c r="B78" s="340"/>
      <c r="C78" s="340"/>
      <c r="D78" s="340"/>
      <c r="E78" s="340"/>
      <c r="F78" s="340"/>
      <c r="G78" s="340"/>
      <c r="H78" s="340"/>
      <c r="I78" s="340"/>
      <c r="J78" s="340"/>
      <c r="K78" s="340"/>
      <c r="L78" s="340"/>
      <c r="M78" s="340"/>
      <c r="N78" s="340"/>
      <c r="O78" s="340"/>
      <c r="P78" s="340"/>
      <c r="Q78" s="340"/>
      <c r="R78" s="340"/>
      <c r="S78" s="340"/>
      <c r="T78" s="340"/>
      <c r="U78" s="340"/>
    </row>
    <row r="79" spans="1:27" s="169" customFormat="1" ht="42" customHeight="1" x14ac:dyDescent="0.2">
      <c r="A79" s="340" t="s">
        <v>260</v>
      </c>
      <c r="B79" s="340"/>
      <c r="C79" s="340"/>
      <c r="D79" s="340"/>
      <c r="E79" s="340"/>
      <c r="F79" s="340"/>
      <c r="G79" s="340"/>
      <c r="H79" s="340"/>
      <c r="I79" s="340"/>
      <c r="J79" s="340"/>
      <c r="K79" s="340"/>
      <c r="L79" s="340"/>
      <c r="M79" s="340"/>
      <c r="N79" s="340"/>
      <c r="O79" s="340"/>
      <c r="P79" s="340"/>
      <c r="Q79" s="340"/>
      <c r="R79" s="340"/>
      <c r="S79" s="340"/>
      <c r="T79" s="340"/>
      <c r="U79" s="340"/>
    </row>
    <row r="80" spans="1:27" s="171" customFormat="1" ht="29.25" customHeight="1" x14ac:dyDescent="0.3">
      <c r="A80" s="340" t="s">
        <v>264</v>
      </c>
      <c r="B80" s="340"/>
      <c r="C80" s="340"/>
      <c r="D80" s="340"/>
      <c r="E80" s="340"/>
      <c r="F80" s="340"/>
      <c r="G80" s="340"/>
      <c r="H80" s="340"/>
      <c r="I80" s="340"/>
      <c r="J80" s="340"/>
      <c r="K80" s="340"/>
      <c r="L80" s="340"/>
      <c r="M80" s="340"/>
      <c r="N80" s="340"/>
      <c r="O80" s="340"/>
      <c r="P80" s="340"/>
      <c r="Q80" s="340"/>
      <c r="R80" s="340"/>
      <c r="S80" s="340"/>
      <c r="T80" s="340"/>
      <c r="U80" s="340"/>
    </row>
    <row r="81" spans="1:21" ht="12.75" customHeight="1" x14ac:dyDescent="0.3">
      <c r="A81" s="345"/>
      <c r="B81" s="345"/>
      <c r="C81" s="345"/>
      <c r="D81" s="345"/>
      <c r="E81" s="345"/>
      <c r="F81" s="345"/>
      <c r="G81" s="345"/>
      <c r="H81" s="345"/>
      <c r="I81" s="345"/>
      <c r="J81" s="345"/>
      <c r="K81" s="345"/>
      <c r="L81" s="345"/>
      <c r="M81" s="345"/>
      <c r="N81" s="345"/>
      <c r="O81" s="345"/>
      <c r="P81" s="345"/>
      <c r="Q81" s="345"/>
      <c r="R81" s="345"/>
      <c r="S81" s="345"/>
      <c r="T81" s="345"/>
      <c r="U81" s="345"/>
    </row>
    <row r="82" spans="1:21" ht="12.75" customHeight="1" x14ac:dyDescent="0.3">
      <c r="A82" s="345"/>
      <c r="B82" s="345"/>
      <c r="C82" s="345"/>
      <c r="D82" s="345"/>
      <c r="E82" s="345"/>
      <c r="F82" s="345"/>
      <c r="G82" s="345"/>
      <c r="H82" s="345"/>
      <c r="I82" s="345"/>
      <c r="J82" s="345"/>
      <c r="K82" s="345"/>
      <c r="L82" s="345"/>
      <c r="M82" s="345"/>
      <c r="N82" s="345"/>
      <c r="O82" s="345"/>
      <c r="P82" s="345"/>
      <c r="Q82" s="345"/>
      <c r="R82" s="345"/>
      <c r="S82" s="345"/>
      <c r="T82" s="345"/>
      <c r="U82" s="345"/>
    </row>
    <row r="83" spans="1:21" ht="12.75" customHeight="1" x14ac:dyDescent="0.3">
      <c r="A83" s="345"/>
      <c r="B83" s="345"/>
      <c r="C83" s="345"/>
      <c r="D83" s="345"/>
      <c r="E83" s="345"/>
      <c r="F83" s="345"/>
      <c r="G83" s="345"/>
      <c r="H83" s="345"/>
      <c r="I83" s="345"/>
      <c r="J83" s="345"/>
      <c r="K83" s="345"/>
      <c r="L83" s="345"/>
      <c r="M83" s="345"/>
      <c r="N83" s="345"/>
      <c r="O83" s="345"/>
      <c r="P83" s="345"/>
      <c r="Q83" s="345"/>
      <c r="R83" s="345"/>
      <c r="S83" s="345"/>
      <c r="T83" s="345"/>
      <c r="U83" s="345"/>
    </row>
    <row r="84" spans="1:21" ht="12.75" customHeight="1" x14ac:dyDescent="0.3">
      <c r="A84" s="345"/>
      <c r="B84" s="345"/>
      <c r="C84" s="345"/>
      <c r="D84" s="345"/>
      <c r="E84" s="345"/>
      <c r="F84" s="345"/>
      <c r="G84" s="345"/>
      <c r="H84" s="345"/>
      <c r="I84" s="345"/>
      <c r="J84" s="345"/>
      <c r="K84" s="345"/>
      <c r="L84" s="345"/>
      <c r="M84" s="345"/>
      <c r="N84" s="345"/>
      <c r="O84" s="345"/>
      <c r="P84" s="345"/>
      <c r="Q84" s="345"/>
      <c r="R84" s="345"/>
      <c r="S84" s="345"/>
      <c r="T84" s="345"/>
      <c r="U84" s="345"/>
    </row>
    <row r="85" spans="1:21" ht="12.75" customHeight="1" x14ac:dyDescent="0.3">
      <c r="A85" s="345"/>
      <c r="B85" s="345"/>
      <c r="C85" s="345"/>
      <c r="D85" s="345"/>
      <c r="E85" s="345"/>
      <c r="F85" s="345"/>
      <c r="G85" s="345"/>
      <c r="H85" s="345"/>
      <c r="I85" s="345"/>
      <c r="J85" s="345"/>
      <c r="K85" s="345"/>
      <c r="L85" s="345"/>
      <c r="M85" s="345"/>
      <c r="N85" s="345"/>
      <c r="O85" s="345"/>
      <c r="P85" s="345"/>
      <c r="Q85" s="345"/>
      <c r="R85" s="345"/>
      <c r="S85" s="345"/>
      <c r="T85" s="345"/>
      <c r="U85" s="345"/>
    </row>
    <row r="86" spans="1:21" ht="12.75" customHeight="1" x14ac:dyDescent="0.3">
      <c r="A86" s="345"/>
      <c r="B86" s="345"/>
      <c r="C86" s="345"/>
      <c r="D86" s="345"/>
      <c r="E86" s="345"/>
      <c r="F86" s="345"/>
      <c r="G86" s="345"/>
      <c r="H86" s="345"/>
      <c r="I86" s="345"/>
      <c r="J86" s="345"/>
      <c r="K86" s="345"/>
      <c r="L86" s="345"/>
      <c r="M86" s="345"/>
      <c r="N86" s="345"/>
      <c r="O86" s="345"/>
      <c r="P86" s="345"/>
      <c r="Q86" s="345"/>
      <c r="R86" s="345"/>
      <c r="S86" s="345"/>
      <c r="T86" s="345"/>
      <c r="U86" s="345"/>
    </row>
  </sheetData>
  <dataConsolidate/>
  <mergeCells count="21">
    <mergeCell ref="J4:S4"/>
    <mergeCell ref="D6:E7"/>
    <mergeCell ref="A76:U76"/>
    <mergeCell ref="A77:U77"/>
    <mergeCell ref="A78:U78"/>
    <mergeCell ref="J6:K7"/>
    <mergeCell ref="L6:M7"/>
    <mergeCell ref="P5:U5"/>
    <mergeCell ref="A86:U86"/>
    <mergeCell ref="F6:I6"/>
    <mergeCell ref="D5:M5"/>
    <mergeCell ref="P6:Q7"/>
    <mergeCell ref="R6:S7"/>
    <mergeCell ref="T6:U7"/>
    <mergeCell ref="A80:U80"/>
    <mergeCell ref="A81:U81"/>
    <mergeCell ref="A82:U82"/>
    <mergeCell ref="A83:U83"/>
    <mergeCell ref="A84:U84"/>
    <mergeCell ref="A85:U85"/>
    <mergeCell ref="A79:U79"/>
  </mergeCells>
  <hyperlinks>
    <hyperlink ref="A3" location="'Table Contents'!A1" display="Back to contents"/>
  </hyperlinks>
  <printOptions horizontalCentered="1" verticalCentered="1" gridLinesSet="0"/>
  <pageMargins left="0.19685039370078741" right="0.19685039370078741" top="0.19685039370078741" bottom="0.19685039370078741" header="0.39370078740157483" footer="0.39370078740157483"/>
  <pageSetup paperSize="9" scale="65" orientation="portrait" horizontalDpi="300" verticalDpi="4294967292"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AA80"/>
  <sheetViews>
    <sheetView showGridLines="0" topLeftCell="A3" zoomScaleNormal="100" workbookViewId="0">
      <pane xSplit="3" ySplit="5" topLeftCell="D8" activePane="bottomRight" state="frozen"/>
      <selection pane="topRight"/>
      <selection pane="bottomLeft"/>
      <selection pane="bottomRight" activeCell="D8" sqref="D8"/>
    </sheetView>
  </sheetViews>
  <sheetFormatPr defaultColWidth="8.85546875" defaultRowHeight="12.75" customHeight="1" x14ac:dyDescent="0.3"/>
  <cols>
    <col min="1" max="1" width="7.42578125" style="131" customWidth="1"/>
    <col min="2" max="3" width="4.85546875" style="131" customWidth="1"/>
    <col min="4" max="4" width="12.7109375" style="172" customWidth="1"/>
    <col min="5" max="5" width="3.85546875" style="174" customWidth="1"/>
    <col min="6" max="6" width="11.7109375" style="172" customWidth="1"/>
    <col min="7" max="7" width="3.85546875" style="174" customWidth="1"/>
    <col min="8" max="8" width="11.28515625" style="172" customWidth="1"/>
    <col min="9" max="9" width="3.85546875" style="174" customWidth="1"/>
    <col min="10" max="10" width="14" style="173" bestFit="1" customWidth="1"/>
    <col min="11" max="11" width="3.85546875" style="174" customWidth="1"/>
    <col min="12" max="12" width="12.28515625" style="173" bestFit="1" customWidth="1"/>
    <col min="13" max="13" width="3.85546875" style="174" customWidth="1"/>
    <col min="14" max="14" width="12.140625" style="172" bestFit="1" customWidth="1"/>
    <col min="15" max="15" width="3.85546875" style="174" customWidth="1"/>
    <col min="16" max="16384" width="8.85546875" style="134"/>
  </cols>
  <sheetData>
    <row r="1" spans="1:15" ht="12.75" hidden="1" customHeight="1" x14ac:dyDescent="0.3"/>
    <row r="2" spans="1:15" ht="12.75" hidden="1" customHeight="1" x14ac:dyDescent="0.3"/>
    <row r="3" spans="1:15" ht="12.75" customHeight="1" x14ac:dyDescent="0.3">
      <c r="B3" s="132"/>
      <c r="C3" s="132"/>
      <c r="D3" s="132"/>
      <c r="E3" s="133"/>
      <c r="F3" s="132"/>
      <c r="G3" s="133"/>
      <c r="H3" s="132"/>
      <c r="I3" s="133"/>
      <c r="J3" s="132"/>
      <c r="K3" s="133"/>
      <c r="L3" s="132"/>
      <c r="M3" s="133"/>
      <c r="N3" s="132"/>
      <c r="O3" s="133"/>
    </row>
    <row r="4" spans="1:15" s="136" customFormat="1" ht="31.5" customHeight="1" x14ac:dyDescent="0.3">
      <c r="A4" s="192" t="s">
        <v>188</v>
      </c>
      <c r="B4" s="191"/>
      <c r="C4" s="191"/>
      <c r="D4" s="135" t="s">
        <v>484</v>
      </c>
      <c r="E4" s="133"/>
      <c r="F4" s="132"/>
      <c r="G4" s="133"/>
      <c r="H4" s="132"/>
      <c r="I4" s="133"/>
      <c r="J4" s="132"/>
      <c r="K4" s="133"/>
      <c r="L4" s="132"/>
      <c r="M4" s="133"/>
      <c r="N4" s="132"/>
      <c r="O4" s="133"/>
    </row>
    <row r="5" spans="1:15" s="136" customFormat="1" ht="17.25" x14ac:dyDescent="0.3">
      <c r="A5" s="190" t="s">
        <v>154</v>
      </c>
      <c r="B5" s="187"/>
      <c r="C5" s="187"/>
      <c r="D5" s="188" t="s">
        <v>187</v>
      </c>
      <c r="E5" s="283"/>
      <c r="F5" s="188"/>
      <c r="G5" s="283"/>
      <c r="H5" s="188"/>
      <c r="I5" s="283"/>
      <c r="J5" s="188"/>
      <c r="K5" s="283"/>
      <c r="L5" s="188"/>
      <c r="M5" s="283"/>
      <c r="N5" s="188"/>
      <c r="O5" s="133"/>
    </row>
    <row r="6" spans="1:15" ht="10.5" customHeight="1" thickBot="1" x14ac:dyDescent="0.35">
      <c r="A6" s="137"/>
      <c r="B6" s="137"/>
      <c r="C6" s="137"/>
      <c r="D6" s="137"/>
      <c r="E6" s="215"/>
      <c r="F6" s="137"/>
      <c r="G6" s="215"/>
      <c r="H6" s="137"/>
      <c r="I6" s="215"/>
      <c r="J6" s="337"/>
      <c r="K6" s="337"/>
      <c r="L6" s="337"/>
      <c r="M6" s="337"/>
      <c r="N6" s="337"/>
      <c r="O6" s="337"/>
    </row>
    <row r="7" spans="1:15" s="141" customFormat="1" ht="60" customHeight="1" thickBot="1" x14ac:dyDescent="0.35">
      <c r="A7" s="227"/>
      <c r="B7" s="228" t="s">
        <v>140</v>
      </c>
      <c r="C7" s="228"/>
      <c r="D7" s="338" t="s">
        <v>485</v>
      </c>
      <c r="E7" s="338"/>
      <c r="F7" s="341" t="s">
        <v>426</v>
      </c>
      <c r="G7" s="341"/>
      <c r="H7" s="341" t="s">
        <v>479</v>
      </c>
      <c r="I7" s="341"/>
      <c r="J7" s="341" t="s">
        <v>93</v>
      </c>
      <c r="K7" s="341"/>
      <c r="L7" s="341" t="s">
        <v>0</v>
      </c>
      <c r="M7" s="341"/>
      <c r="N7" s="341" t="s">
        <v>158</v>
      </c>
      <c r="O7" s="341"/>
    </row>
    <row r="8" spans="1:15" s="146" customFormat="1" ht="15" x14ac:dyDescent="0.25">
      <c r="A8" s="143">
        <v>2007</v>
      </c>
      <c r="B8" s="143"/>
      <c r="C8" s="213"/>
      <c r="D8" s="144">
        <v>640</v>
      </c>
      <c r="E8" s="145" t="s">
        <v>508</v>
      </c>
      <c r="F8" s="144">
        <v>400</v>
      </c>
      <c r="G8" s="145" t="s">
        <v>508</v>
      </c>
      <c r="H8" s="144">
        <v>122</v>
      </c>
      <c r="I8" s="145" t="s">
        <v>508</v>
      </c>
      <c r="J8" s="144">
        <v>64</v>
      </c>
      <c r="K8" s="145" t="s">
        <v>508</v>
      </c>
      <c r="L8" s="144">
        <v>7</v>
      </c>
      <c r="M8" s="145" t="s">
        <v>508</v>
      </c>
      <c r="N8" s="144">
        <v>47</v>
      </c>
      <c r="O8" s="145" t="s">
        <v>508</v>
      </c>
    </row>
    <row r="9" spans="1:15" s="146" customFormat="1" ht="12.75" customHeight="1" x14ac:dyDescent="0.25">
      <c r="A9" s="143">
        <v>2008</v>
      </c>
      <c r="B9" s="143"/>
      <c r="C9" s="213"/>
      <c r="D9" s="144">
        <v>893</v>
      </c>
      <c r="E9" s="145" t="s">
        <v>508</v>
      </c>
      <c r="F9" s="144">
        <v>561</v>
      </c>
      <c r="G9" s="145" t="s">
        <v>508</v>
      </c>
      <c r="H9" s="144">
        <v>104</v>
      </c>
      <c r="I9" s="145" t="s">
        <v>508</v>
      </c>
      <c r="J9" s="144">
        <v>190</v>
      </c>
      <c r="K9" s="145" t="s">
        <v>508</v>
      </c>
      <c r="L9" s="144">
        <v>4</v>
      </c>
      <c r="M9" s="145" t="s">
        <v>508</v>
      </c>
      <c r="N9" s="144">
        <v>34</v>
      </c>
      <c r="O9" s="145" t="s">
        <v>508</v>
      </c>
    </row>
    <row r="10" spans="1:15" s="146" customFormat="1" ht="12.75" customHeight="1" x14ac:dyDescent="0.25">
      <c r="A10" s="143">
        <v>2009</v>
      </c>
      <c r="B10" s="143"/>
      <c r="C10" s="213"/>
      <c r="D10" s="144">
        <v>1027</v>
      </c>
      <c r="E10" s="145" t="s">
        <v>508</v>
      </c>
      <c r="F10" s="144">
        <v>556</v>
      </c>
      <c r="G10" s="145" t="s">
        <v>508</v>
      </c>
      <c r="H10" s="144">
        <v>171</v>
      </c>
      <c r="I10" s="145" t="s">
        <v>508</v>
      </c>
      <c r="J10" s="144">
        <v>259</v>
      </c>
      <c r="K10" s="145" t="s">
        <v>508</v>
      </c>
      <c r="L10" s="144">
        <v>8</v>
      </c>
      <c r="M10" s="145" t="s">
        <v>508</v>
      </c>
      <c r="N10" s="144">
        <v>33</v>
      </c>
      <c r="O10" s="145" t="s">
        <v>508</v>
      </c>
    </row>
    <row r="11" spans="1:15" s="146" customFormat="1" ht="12.75" customHeight="1" x14ac:dyDescent="0.25">
      <c r="A11" s="143">
        <v>2010</v>
      </c>
      <c r="B11" s="143"/>
      <c r="C11" s="213"/>
      <c r="D11" s="144">
        <v>1302</v>
      </c>
      <c r="E11" s="145" t="s">
        <v>508</v>
      </c>
      <c r="F11" s="144">
        <v>780</v>
      </c>
      <c r="G11" s="145" t="s">
        <v>508</v>
      </c>
      <c r="H11" s="144">
        <v>252</v>
      </c>
      <c r="I11" s="145" t="s">
        <v>508</v>
      </c>
      <c r="J11" s="144">
        <v>212</v>
      </c>
      <c r="K11" s="145" t="s">
        <v>508</v>
      </c>
      <c r="L11" s="144">
        <v>7</v>
      </c>
      <c r="M11" s="145" t="s">
        <v>508</v>
      </c>
      <c r="N11" s="144">
        <v>51</v>
      </c>
      <c r="O11" s="145" t="s">
        <v>508</v>
      </c>
    </row>
    <row r="12" spans="1:15" s="146" customFormat="1" ht="12.75" customHeight="1" x14ac:dyDescent="0.25">
      <c r="A12" s="143">
        <v>2011</v>
      </c>
      <c r="B12" s="143"/>
      <c r="C12" s="213"/>
      <c r="D12" s="144">
        <v>1453</v>
      </c>
      <c r="E12" s="145" t="s">
        <v>508</v>
      </c>
      <c r="F12" s="144">
        <v>923</v>
      </c>
      <c r="G12" s="145" t="s">
        <v>508</v>
      </c>
      <c r="H12" s="144">
        <v>269</v>
      </c>
      <c r="I12" s="145" t="s">
        <v>508</v>
      </c>
      <c r="J12" s="144">
        <v>211</v>
      </c>
      <c r="K12" s="145" t="s">
        <v>508</v>
      </c>
      <c r="L12" s="144">
        <v>13</v>
      </c>
      <c r="M12" s="145" t="s">
        <v>508</v>
      </c>
      <c r="N12" s="144">
        <v>37</v>
      </c>
      <c r="O12" s="145" t="s">
        <v>508</v>
      </c>
    </row>
    <row r="13" spans="1:15" s="146" customFormat="1" ht="12.75" customHeight="1" x14ac:dyDescent="0.25">
      <c r="A13" s="143">
        <v>2012</v>
      </c>
      <c r="B13" s="143"/>
      <c r="C13" s="213"/>
      <c r="D13" s="144">
        <v>1377</v>
      </c>
      <c r="E13" s="145" t="s">
        <v>280</v>
      </c>
      <c r="F13" s="144">
        <v>920</v>
      </c>
      <c r="G13" s="145" t="s">
        <v>280</v>
      </c>
      <c r="H13" s="144">
        <v>233</v>
      </c>
      <c r="I13" s="145" t="s">
        <v>508</v>
      </c>
      <c r="J13" s="144">
        <v>169</v>
      </c>
      <c r="K13" s="145" t="s">
        <v>508</v>
      </c>
      <c r="L13" s="144">
        <v>24</v>
      </c>
      <c r="M13" s="145" t="s">
        <v>508</v>
      </c>
      <c r="N13" s="144">
        <v>31</v>
      </c>
      <c r="O13" s="145" t="s">
        <v>508</v>
      </c>
    </row>
    <row r="14" spans="1:15" s="146" customFormat="1" ht="12.75" customHeight="1" x14ac:dyDescent="0.25">
      <c r="A14" s="143">
        <v>2013</v>
      </c>
      <c r="B14" s="143"/>
      <c r="C14" s="213"/>
      <c r="D14" s="144">
        <v>897</v>
      </c>
      <c r="E14" s="145" t="s">
        <v>508</v>
      </c>
      <c r="F14" s="144">
        <v>484</v>
      </c>
      <c r="G14" s="145" t="s">
        <v>508</v>
      </c>
      <c r="H14" s="144">
        <v>258</v>
      </c>
      <c r="I14" s="145" t="s">
        <v>508</v>
      </c>
      <c r="J14" s="144">
        <v>122</v>
      </c>
      <c r="K14" s="145" t="s">
        <v>508</v>
      </c>
      <c r="L14" s="144">
        <v>16</v>
      </c>
      <c r="M14" s="145" t="s">
        <v>508</v>
      </c>
      <c r="N14" s="144">
        <v>17</v>
      </c>
      <c r="O14" s="145" t="s">
        <v>508</v>
      </c>
    </row>
    <row r="15" spans="1:15" s="146" customFormat="1" ht="12.75" customHeight="1" x14ac:dyDescent="0.25">
      <c r="A15" s="143">
        <v>2014</v>
      </c>
      <c r="B15" s="143"/>
      <c r="C15" s="213"/>
      <c r="D15" s="144">
        <v>963</v>
      </c>
      <c r="E15" s="145" t="s">
        <v>508</v>
      </c>
      <c r="F15" s="144">
        <v>650</v>
      </c>
      <c r="G15" s="145" t="s">
        <v>508</v>
      </c>
      <c r="H15" s="144">
        <v>207</v>
      </c>
      <c r="I15" s="145" t="s">
        <v>508</v>
      </c>
      <c r="J15" s="144">
        <v>87</v>
      </c>
      <c r="K15" s="145" t="s">
        <v>508</v>
      </c>
      <c r="L15" s="144">
        <v>14</v>
      </c>
      <c r="M15" s="145" t="s">
        <v>508</v>
      </c>
      <c r="N15" s="144">
        <v>5</v>
      </c>
      <c r="O15" s="145" t="s">
        <v>508</v>
      </c>
    </row>
    <row r="16" spans="1:15" s="146" customFormat="1" ht="12.75" customHeight="1" x14ac:dyDescent="0.25">
      <c r="A16" s="143">
        <v>2015</v>
      </c>
      <c r="B16" s="143"/>
      <c r="C16" s="213"/>
      <c r="D16" s="144">
        <v>948</v>
      </c>
      <c r="E16" s="145" t="s">
        <v>508</v>
      </c>
      <c r="F16" s="144">
        <v>576</v>
      </c>
      <c r="G16" s="145" t="s">
        <v>508</v>
      </c>
      <c r="H16" s="144">
        <v>253</v>
      </c>
      <c r="I16" s="145" t="s">
        <v>508</v>
      </c>
      <c r="J16" s="144">
        <v>109</v>
      </c>
      <c r="K16" s="145" t="s">
        <v>508</v>
      </c>
      <c r="L16" s="144">
        <v>4</v>
      </c>
      <c r="M16" s="145" t="s">
        <v>508</v>
      </c>
      <c r="N16" s="144">
        <v>6</v>
      </c>
      <c r="O16" s="145" t="s">
        <v>508</v>
      </c>
    </row>
    <row r="17" spans="1:15" s="146" customFormat="1" ht="12.75" customHeight="1" x14ac:dyDescent="0.25">
      <c r="A17" s="143">
        <v>2016</v>
      </c>
      <c r="B17" s="213" t="s">
        <v>508</v>
      </c>
      <c r="D17" s="144">
        <v>1034</v>
      </c>
      <c r="E17" s="145" t="s">
        <v>280</v>
      </c>
      <c r="F17" s="144">
        <v>591</v>
      </c>
      <c r="G17" s="145" t="s">
        <v>280</v>
      </c>
      <c r="H17" s="144">
        <v>282</v>
      </c>
      <c r="I17" s="145" t="s">
        <v>280</v>
      </c>
      <c r="J17" s="144">
        <v>145</v>
      </c>
      <c r="K17" s="145" t="s">
        <v>280</v>
      </c>
      <c r="L17" s="144">
        <v>13</v>
      </c>
      <c r="M17" s="145" t="s">
        <v>508</v>
      </c>
      <c r="N17" s="144">
        <v>3</v>
      </c>
      <c r="O17" s="145" t="s">
        <v>508</v>
      </c>
    </row>
    <row r="18" spans="1:15" s="142" customFormat="1" ht="12.75" customHeight="1" x14ac:dyDescent="0.25">
      <c r="A18" s="148"/>
      <c r="B18" s="148"/>
      <c r="C18" s="218"/>
      <c r="D18" s="320"/>
      <c r="E18" s="154"/>
      <c r="F18" s="320"/>
      <c r="G18" s="154"/>
      <c r="H18" s="320"/>
      <c r="I18" s="154"/>
      <c r="J18" s="320"/>
      <c r="K18" s="154"/>
      <c r="L18" s="320"/>
      <c r="M18" s="154"/>
      <c r="N18" s="320"/>
      <c r="O18" s="154"/>
    </row>
    <row r="19" spans="1:15" s="142" customFormat="1" ht="12.75" customHeight="1" x14ac:dyDescent="0.25">
      <c r="A19" s="151">
        <v>2007</v>
      </c>
      <c r="B19" s="152" t="s">
        <v>1</v>
      </c>
      <c r="C19" s="219"/>
      <c r="D19" s="153">
        <v>184</v>
      </c>
      <c r="E19" s="154" t="s">
        <v>508</v>
      </c>
      <c r="F19" s="153">
        <v>103</v>
      </c>
      <c r="G19" s="154" t="s">
        <v>508</v>
      </c>
      <c r="H19" s="153">
        <v>39</v>
      </c>
      <c r="I19" s="154" t="s">
        <v>508</v>
      </c>
      <c r="J19" s="153">
        <v>27</v>
      </c>
      <c r="K19" s="154" t="s">
        <v>508</v>
      </c>
      <c r="L19" s="153">
        <v>4</v>
      </c>
      <c r="M19" s="154" t="s">
        <v>508</v>
      </c>
      <c r="N19" s="153">
        <v>11</v>
      </c>
      <c r="O19" s="154" t="s">
        <v>508</v>
      </c>
    </row>
    <row r="20" spans="1:15" s="142" customFormat="1" ht="12.75" customHeight="1" x14ac:dyDescent="0.25">
      <c r="A20" s="151"/>
      <c r="B20" s="152" t="s">
        <v>2</v>
      </c>
      <c r="C20" s="219"/>
      <c r="D20" s="153">
        <v>204</v>
      </c>
      <c r="E20" s="154" t="s">
        <v>508</v>
      </c>
      <c r="F20" s="153">
        <v>127</v>
      </c>
      <c r="G20" s="154" t="s">
        <v>508</v>
      </c>
      <c r="H20" s="153">
        <v>48</v>
      </c>
      <c r="I20" s="154" t="s">
        <v>508</v>
      </c>
      <c r="J20" s="153">
        <v>10</v>
      </c>
      <c r="K20" s="154" t="s">
        <v>508</v>
      </c>
      <c r="L20" s="153">
        <v>1</v>
      </c>
      <c r="M20" s="154" t="s">
        <v>508</v>
      </c>
      <c r="N20" s="153">
        <v>18</v>
      </c>
      <c r="O20" s="154" t="s">
        <v>508</v>
      </c>
    </row>
    <row r="21" spans="1:15" s="142" customFormat="1" ht="12.75" customHeight="1" x14ac:dyDescent="0.25">
      <c r="A21" s="151"/>
      <c r="B21" s="152" t="s">
        <v>3</v>
      </c>
      <c r="C21" s="219"/>
      <c r="D21" s="153">
        <v>122</v>
      </c>
      <c r="E21" s="154" t="s">
        <v>508</v>
      </c>
      <c r="F21" s="153">
        <v>84</v>
      </c>
      <c r="G21" s="154" t="s">
        <v>508</v>
      </c>
      <c r="H21" s="153">
        <v>20</v>
      </c>
      <c r="I21" s="154" t="s">
        <v>508</v>
      </c>
      <c r="J21" s="153">
        <v>15</v>
      </c>
      <c r="K21" s="154" t="s">
        <v>508</v>
      </c>
      <c r="L21" s="153">
        <v>1</v>
      </c>
      <c r="M21" s="154" t="s">
        <v>508</v>
      </c>
      <c r="N21" s="153">
        <v>2</v>
      </c>
      <c r="O21" s="154" t="s">
        <v>508</v>
      </c>
    </row>
    <row r="22" spans="1:15" s="142" customFormat="1" ht="12.75" customHeight="1" x14ac:dyDescent="0.25">
      <c r="A22" s="151"/>
      <c r="B22" s="152" t="s">
        <v>4</v>
      </c>
      <c r="C22" s="219"/>
      <c r="D22" s="153">
        <v>130</v>
      </c>
      <c r="E22" s="154" t="s">
        <v>508</v>
      </c>
      <c r="F22" s="153">
        <v>86</v>
      </c>
      <c r="G22" s="154" t="s">
        <v>508</v>
      </c>
      <c r="H22" s="153">
        <v>15</v>
      </c>
      <c r="I22" s="154" t="s">
        <v>508</v>
      </c>
      <c r="J22" s="153">
        <v>12</v>
      </c>
      <c r="K22" s="154" t="s">
        <v>508</v>
      </c>
      <c r="L22" s="153">
        <v>1</v>
      </c>
      <c r="M22" s="154" t="s">
        <v>508</v>
      </c>
      <c r="N22" s="153">
        <v>16</v>
      </c>
      <c r="O22" s="154" t="s">
        <v>508</v>
      </c>
    </row>
    <row r="23" spans="1:15" s="142" customFormat="1" ht="12.75" customHeight="1" x14ac:dyDescent="0.25">
      <c r="A23" s="151"/>
      <c r="B23" s="152"/>
      <c r="C23" s="219"/>
      <c r="D23" s="153"/>
      <c r="E23" s="154"/>
      <c r="F23" s="153"/>
      <c r="G23" s="154"/>
      <c r="H23" s="153"/>
      <c r="I23" s="154"/>
      <c r="J23" s="153"/>
      <c r="K23" s="154"/>
      <c r="L23" s="153"/>
      <c r="M23" s="154"/>
      <c r="N23" s="153"/>
      <c r="O23" s="154"/>
    </row>
    <row r="24" spans="1:15" s="142" customFormat="1" ht="12.75" customHeight="1" x14ac:dyDescent="0.25">
      <c r="A24" s="151">
        <v>2008</v>
      </c>
      <c r="B24" s="152" t="s">
        <v>1</v>
      </c>
      <c r="C24" s="219"/>
      <c r="D24" s="153">
        <v>155</v>
      </c>
      <c r="E24" s="154" t="s">
        <v>508</v>
      </c>
      <c r="F24" s="153">
        <v>114</v>
      </c>
      <c r="G24" s="154" t="s">
        <v>508</v>
      </c>
      <c r="H24" s="153">
        <v>16</v>
      </c>
      <c r="I24" s="154" t="s">
        <v>508</v>
      </c>
      <c r="J24" s="153">
        <v>21</v>
      </c>
      <c r="K24" s="154" t="s">
        <v>508</v>
      </c>
      <c r="L24" s="153">
        <v>0</v>
      </c>
      <c r="M24" s="154" t="s">
        <v>508</v>
      </c>
      <c r="N24" s="153">
        <v>4</v>
      </c>
      <c r="O24" s="154" t="s">
        <v>508</v>
      </c>
    </row>
    <row r="25" spans="1:15" s="142" customFormat="1" ht="12.75" customHeight="1" x14ac:dyDescent="0.25">
      <c r="A25" s="151"/>
      <c r="B25" s="152" t="s">
        <v>2</v>
      </c>
      <c r="C25" s="219"/>
      <c r="D25" s="153">
        <v>205</v>
      </c>
      <c r="E25" s="154" t="s">
        <v>508</v>
      </c>
      <c r="F25" s="153">
        <v>142</v>
      </c>
      <c r="G25" s="154" t="s">
        <v>508</v>
      </c>
      <c r="H25" s="153">
        <v>15</v>
      </c>
      <c r="I25" s="154" t="s">
        <v>508</v>
      </c>
      <c r="J25" s="153">
        <v>39</v>
      </c>
      <c r="K25" s="154" t="s">
        <v>508</v>
      </c>
      <c r="L25" s="153">
        <v>2</v>
      </c>
      <c r="M25" s="154" t="s">
        <v>508</v>
      </c>
      <c r="N25" s="153">
        <v>7</v>
      </c>
      <c r="O25" s="154" t="s">
        <v>508</v>
      </c>
    </row>
    <row r="26" spans="1:15" s="142" customFormat="1" ht="12.75" customHeight="1" x14ac:dyDescent="0.25">
      <c r="A26" s="151"/>
      <c r="B26" s="152" t="s">
        <v>3</v>
      </c>
      <c r="C26" s="219"/>
      <c r="D26" s="153">
        <v>243</v>
      </c>
      <c r="E26" s="154" t="s">
        <v>508</v>
      </c>
      <c r="F26" s="153">
        <v>152</v>
      </c>
      <c r="G26" s="154" t="s">
        <v>508</v>
      </c>
      <c r="H26" s="153">
        <v>28</v>
      </c>
      <c r="I26" s="154" t="s">
        <v>508</v>
      </c>
      <c r="J26" s="153">
        <v>50</v>
      </c>
      <c r="K26" s="154" t="s">
        <v>508</v>
      </c>
      <c r="L26" s="153">
        <v>1</v>
      </c>
      <c r="M26" s="154" t="s">
        <v>508</v>
      </c>
      <c r="N26" s="153">
        <v>12</v>
      </c>
      <c r="O26" s="154" t="s">
        <v>508</v>
      </c>
    </row>
    <row r="27" spans="1:15" s="142" customFormat="1" ht="12.75" customHeight="1" x14ac:dyDescent="0.25">
      <c r="A27" s="151"/>
      <c r="B27" s="152" t="s">
        <v>4</v>
      </c>
      <c r="C27" s="219"/>
      <c r="D27" s="153">
        <v>290</v>
      </c>
      <c r="E27" s="154" t="s">
        <v>508</v>
      </c>
      <c r="F27" s="153">
        <v>153</v>
      </c>
      <c r="G27" s="154" t="s">
        <v>508</v>
      </c>
      <c r="H27" s="153">
        <v>45</v>
      </c>
      <c r="I27" s="154" t="s">
        <v>508</v>
      </c>
      <c r="J27" s="153">
        <v>80</v>
      </c>
      <c r="K27" s="154" t="s">
        <v>508</v>
      </c>
      <c r="L27" s="153">
        <v>1</v>
      </c>
      <c r="M27" s="154" t="s">
        <v>508</v>
      </c>
      <c r="N27" s="153">
        <v>11</v>
      </c>
      <c r="O27" s="154" t="s">
        <v>508</v>
      </c>
    </row>
    <row r="28" spans="1:15" s="142" customFormat="1" ht="12.75" customHeight="1" x14ac:dyDescent="0.25">
      <c r="A28" s="151"/>
      <c r="B28" s="152"/>
      <c r="C28" s="219"/>
      <c r="D28" s="153"/>
      <c r="E28" s="154"/>
      <c r="F28" s="153"/>
      <c r="G28" s="154"/>
      <c r="H28" s="153"/>
      <c r="I28" s="154"/>
      <c r="J28" s="153"/>
      <c r="K28" s="154"/>
      <c r="L28" s="153"/>
      <c r="M28" s="154"/>
      <c r="N28" s="153"/>
      <c r="O28" s="154"/>
    </row>
    <row r="29" spans="1:15" s="142" customFormat="1" ht="12.75" customHeight="1" x14ac:dyDescent="0.25">
      <c r="A29" s="151">
        <v>2009</v>
      </c>
      <c r="B29" s="152" t="s">
        <v>1</v>
      </c>
      <c r="C29" s="219"/>
      <c r="D29" s="153">
        <v>260</v>
      </c>
      <c r="E29" s="154" t="s">
        <v>508</v>
      </c>
      <c r="F29" s="153">
        <v>136</v>
      </c>
      <c r="G29" s="154" t="s">
        <v>508</v>
      </c>
      <c r="H29" s="153">
        <v>50</v>
      </c>
      <c r="I29" s="154" t="s">
        <v>508</v>
      </c>
      <c r="J29" s="153">
        <v>68</v>
      </c>
      <c r="K29" s="154" t="s">
        <v>508</v>
      </c>
      <c r="L29" s="153">
        <v>2</v>
      </c>
      <c r="M29" s="154" t="s">
        <v>508</v>
      </c>
      <c r="N29" s="153">
        <v>4</v>
      </c>
      <c r="O29" s="154" t="s">
        <v>508</v>
      </c>
    </row>
    <row r="30" spans="1:15" s="142" customFormat="1" ht="12.75" customHeight="1" x14ac:dyDescent="0.25">
      <c r="A30" s="151"/>
      <c r="B30" s="152" t="s">
        <v>2</v>
      </c>
      <c r="C30" s="219"/>
      <c r="D30" s="153">
        <v>268</v>
      </c>
      <c r="E30" s="154" t="s">
        <v>508</v>
      </c>
      <c r="F30" s="153">
        <v>141</v>
      </c>
      <c r="G30" s="154" t="s">
        <v>508</v>
      </c>
      <c r="H30" s="153">
        <v>38</v>
      </c>
      <c r="I30" s="154" t="s">
        <v>508</v>
      </c>
      <c r="J30" s="153">
        <v>77</v>
      </c>
      <c r="K30" s="154" t="s">
        <v>508</v>
      </c>
      <c r="L30" s="153">
        <v>3</v>
      </c>
      <c r="M30" s="154" t="s">
        <v>508</v>
      </c>
      <c r="N30" s="153">
        <v>9</v>
      </c>
      <c r="O30" s="154" t="s">
        <v>508</v>
      </c>
    </row>
    <row r="31" spans="1:15" s="142" customFormat="1" ht="12.75" customHeight="1" x14ac:dyDescent="0.25">
      <c r="A31" s="151"/>
      <c r="B31" s="152" t="s">
        <v>3</v>
      </c>
      <c r="C31" s="219"/>
      <c r="D31" s="153">
        <v>225</v>
      </c>
      <c r="E31" s="154" t="s">
        <v>508</v>
      </c>
      <c r="F31" s="153">
        <v>130</v>
      </c>
      <c r="G31" s="154" t="s">
        <v>508</v>
      </c>
      <c r="H31" s="153">
        <v>36</v>
      </c>
      <c r="I31" s="154" t="s">
        <v>508</v>
      </c>
      <c r="J31" s="153">
        <v>43</v>
      </c>
      <c r="K31" s="154" t="s">
        <v>508</v>
      </c>
      <c r="L31" s="153">
        <v>0</v>
      </c>
      <c r="M31" s="154" t="s">
        <v>508</v>
      </c>
      <c r="N31" s="153">
        <v>16</v>
      </c>
      <c r="O31" s="154" t="s">
        <v>508</v>
      </c>
    </row>
    <row r="32" spans="1:15" s="142" customFormat="1" ht="12.75" customHeight="1" x14ac:dyDescent="0.25">
      <c r="A32" s="151"/>
      <c r="B32" s="152" t="s">
        <v>4</v>
      </c>
      <c r="C32" s="219"/>
      <c r="D32" s="153">
        <v>274</v>
      </c>
      <c r="E32" s="154" t="s">
        <v>508</v>
      </c>
      <c r="F32" s="153">
        <v>149</v>
      </c>
      <c r="G32" s="154" t="s">
        <v>508</v>
      </c>
      <c r="H32" s="153">
        <v>47</v>
      </c>
      <c r="I32" s="154" t="s">
        <v>508</v>
      </c>
      <c r="J32" s="153">
        <v>71</v>
      </c>
      <c r="K32" s="154" t="s">
        <v>508</v>
      </c>
      <c r="L32" s="153">
        <v>3</v>
      </c>
      <c r="M32" s="154" t="s">
        <v>508</v>
      </c>
      <c r="N32" s="153">
        <v>4</v>
      </c>
      <c r="O32" s="154" t="s">
        <v>508</v>
      </c>
    </row>
    <row r="33" spans="1:15" s="142" customFormat="1" ht="12.75" customHeight="1" x14ac:dyDescent="0.25">
      <c r="A33" s="151"/>
      <c r="B33" s="152"/>
      <c r="C33" s="219"/>
      <c r="D33" s="153"/>
      <c r="E33" s="154"/>
      <c r="F33" s="153"/>
      <c r="G33" s="154"/>
      <c r="H33" s="153"/>
      <c r="I33" s="154"/>
      <c r="J33" s="153"/>
      <c r="K33" s="154"/>
      <c r="L33" s="153"/>
      <c r="M33" s="154"/>
      <c r="N33" s="153"/>
      <c r="O33" s="154"/>
    </row>
    <row r="34" spans="1:15" s="142" customFormat="1" ht="12.75" customHeight="1" x14ac:dyDescent="0.25">
      <c r="A34" s="151">
        <v>2010</v>
      </c>
      <c r="B34" s="152" t="s">
        <v>1</v>
      </c>
      <c r="C34" s="219"/>
      <c r="D34" s="153">
        <v>376</v>
      </c>
      <c r="E34" s="154" t="s">
        <v>508</v>
      </c>
      <c r="F34" s="153">
        <v>221</v>
      </c>
      <c r="G34" s="154" t="s">
        <v>508</v>
      </c>
      <c r="H34" s="153">
        <v>72</v>
      </c>
      <c r="I34" s="154" t="s">
        <v>508</v>
      </c>
      <c r="J34" s="153">
        <v>74</v>
      </c>
      <c r="K34" s="154" t="s">
        <v>508</v>
      </c>
      <c r="L34" s="153">
        <v>2</v>
      </c>
      <c r="M34" s="154" t="s">
        <v>508</v>
      </c>
      <c r="N34" s="153">
        <v>7</v>
      </c>
      <c r="O34" s="154" t="s">
        <v>508</v>
      </c>
    </row>
    <row r="35" spans="1:15" s="142" customFormat="1" ht="12.75" customHeight="1" x14ac:dyDescent="0.25">
      <c r="A35" s="151"/>
      <c r="B35" s="152" t="s">
        <v>2</v>
      </c>
      <c r="C35" s="219"/>
      <c r="D35" s="153">
        <v>334</v>
      </c>
      <c r="E35" s="154" t="s">
        <v>508</v>
      </c>
      <c r="F35" s="153">
        <v>212</v>
      </c>
      <c r="G35" s="154" t="s">
        <v>508</v>
      </c>
      <c r="H35" s="153">
        <v>57</v>
      </c>
      <c r="I35" s="154" t="s">
        <v>508</v>
      </c>
      <c r="J35" s="153">
        <v>41</v>
      </c>
      <c r="K35" s="154" t="s">
        <v>508</v>
      </c>
      <c r="L35" s="153">
        <v>1</v>
      </c>
      <c r="M35" s="154" t="s">
        <v>508</v>
      </c>
      <c r="N35" s="153">
        <v>23</v>
      </c>
      <c r="O35" s="154" t="s">
        <v>508</v>
      </c>
    </row>
    <row r="36" spans="1:15" s="142" customFormat="1" ht="12.75" customHeight="1" x14ac:dyDescent="0.25">
      <c r="A36" s="151"/>
      <c r="B36" s="152" t="s">
        <v>3</v>
      </c>
      <c r="C36" s="219"/>
      <c r="D36" s="153">
        <v>278</v>
      </c>
      <c r="E36" s="154" t="s">
        <v>508</v>
      </c>
      <c r="F36" s="153">
        <v>154</v>
      </c>
      <c r="G36" s="154" t="s">
        <v>508</v>
      </c>
      <c r="H36" s="153">
        <v>59</v>
      </c>
      <c r="I36" s="154" t="s">
        <v>508</v>
      </c>
      <c r="J36" s="153">
        <v>51</v>
      </c>
      <c r="K36" s="154" t="s">
        <v>508</v>
      </c>
      <c r="L36" s="153">
        <v>0</v>
      </c>
      <c r="M36" s="154" t="s">
        <v>508</v>
      </c>
      <c r="N36" s="153">
        <v>14</v>
      </c>
      <c r="O36" s="154" t="s">
        <v>508</v>
      </c>
    </row>
    <row r="37" spans="1:15" s="142" customFormat="1" ht="12.75" customHeight="1" x14ac:dyDescent="0.25">
      <c r="A37" s="151"/>
      <c r="B37" s="152" t="s">
        <v>4</v>
      </c>
      <c r="C37" s="219"/>
      <c r="D37" s="153">
        <v>314</v>
      </c>
      <c r="E37" s="154" t="s">
        <v>508</v>
      </c>
      <c r="F37" s="153">
        <v>193</v>
      </c>
      <c r="G37" s="154" t="s">
        <v>508</v>
      </c>
      <c r="H37" s="153">
        <v>64</v>
      </c>
      <c r="I37" s="154" t="s">
        <v>508</v>
      </c>
      <c r="J37" s="153">
        <v>46</v>
      </c>
      <c r="K37" s="154" t="s">
        <v>508</v>
      </c>
      <c r="L37" s="153">
        <v>4</v>
      </c>
      <c r="M37" s="154" t="s">
        <v>508</v>
      </c>
      <c r="N37" s="153">
        <v>7</v>
      </c>
      <c r="O37" s="154" t="s">
        <v>508</v>
      </c>
    </row>
    <row r="38" spans="1:15" s="142" customFormat="1" ht="12.75" customHeight="1" x14ac:dyDescent="0.25">
      <c r="A38" s="151"/>
      <c r="B38" s="152"/>
      <c r="C38" s="219"/>
      <c r="D38" s="153"/>
      <c r="E38" s="154"/>
      <c r="F38" s="153"/>
      <c r="G38" s="154"/>
      <c r="H38" s="153"/>
      <c r="I38" s="154"/>
      <c r="J38" s="153"/>
      <c r="K38" s="154"/>
      <c r="L38" s="153"/>
      <c r="M38" s="154"/>
      <c r="N38" s="153"/>
      <c r="O38" s="154"/>
    </row>
    <row r="39" spans="1:15" s="142" customFormat="1" ht="12.75" customHeight="1" x14ac:dyDescent="0.25">
      <c r="A39" s="151">
        <v>2011</v>
      </c>
      <c r="B39" s="152" t="s">
        <v>1</v>
      </c>
      <c r="C39" s="219"/>
      <c r="D39" s="153">
        <v>339</v>
      </c>
      <c r="E39" s="154" t="s">
        <v>508</v>
      </c>
      <c r="F39" s="153">
        <v>196</v>
      </c>
      <c r="G39" s="154" t="s">
        <v>508</v>
      </c>
      <c r="H39" s="153">
        <v>74</v>
      </c>
      <c r="I39" s="154" t="s">
        <v>508</v>
      </c>
      <c r="J39" s="153">
        <v>55</v>
      </c>
      <c r="K39" s="154" t="s">
        <v>508</v>
      </c>
      <c r="L39" s="153">
        <v>3</v>
      </c>
      <c r="M39" s="154" t="s">
        <v>508</v>
      </c>
      <c r="N39" s="153">
        <v>11</v>
      </c>
      <c r="O39" s="154" t="s">
        <v>508</v>
      </c>
    </row>
    <row r="40" spans="1:15" s="142" customFormat="1" ht="12.75" customHeight="1" x14ac:dyDescent="0.25">
      <c r="A40" s="151"/>
      <c r="B40" s="152" t="s">
        <v>2</v>
      </c>
      <c r="C40" s="219"/>
      <c r="D40" s="153">
        <v>377</v>
      </c>
      <c r="E40" s="154" t="s">
        <v>508</v>
      </c>
      <c r="F40" s="153">
        <v>260</v>
      </c>
      <c r="G40" s="154" t="s">
        <v>508</v>
      </c>
      <c r="H40" s="153">
        <v>60</v>
      </c>
      <c r="I40" s="154" t="s">
        <v>508</v>
      </c>
      <c r="J40" s="153">
        <v>50</v>
      </c>
      <c r="K40" s="154" t="s">
        <v>508</v>
      </c>
      <c r="L40" s="153">
        <v>3</v>
      </c>
      <c r="M40" s="154" t="s">
        <v>508</v>
      </c>
      <c r="N40" s="153">
        <v>4</v>
      </c>
      <c r="O40" s="154" t="s">
        <v>508</v>
      </c>
    </row>
    <row r="41" spans="1:15" s="142" customFormat="1" ht="12.75" customHeight="1" x14ac:dyDescent="0.25">
      <c r="A41" s="151"/>
      <c r="B41" s="152" t="s">
        <v>3</v>
      </c>
      <c r="C41" s="219"/>
      <c r="D41" s="153">
        <v>405</v>
      </c>
      <c r="E41" s="154" t="s">
        <v>508</v>
      </c>
      <c r="F41" s="153">
        <v>256</v>
      </c>
      <c r="G41" s="154" t="s">
        <v>508</v>
      </c>
      <c r="H41" s="153">
        <v>79</v>
      </c>
      <c r="I41" s="154" t="s">
        <v>508</v>
      </c>
      <c r="J41" s="153">
        <v>54</v>
      </c>
      <c r="K41" s="154" t="s">
        <v>508</v>
      </c>
      <c r="L41" s="153">
        <v>2</v>
      </c>
      <c r="M41" s="154" t="s">
        <v>508</v>
      </c>
      <c r="N41" s="153">
        <v>14</v>
      </c>
      <c r="O41" s="154" t="s">
        <v>508</v>
      </c>
    </row>
    <row r="42" spans="1:15" s="142" customFormat="1" ht="12.75" customHeight="1" x14ac:dyDescent="0.25">
      <c r="A42" s="151"/>
      <c r="B42" s="152" t="s">
        <v>4</v>
      </c>
      <c r="C42" s="219"/>
      <c r="D42" s="153">
        <v>332</v>
      </c>
      <c r="E42" s="154" t="s">
        <v>508</v>
      </c>
      <c r="F42" s="153">
        <v>211</v>
      </c>
      <c r="G42" s="154" t="s">
        <v>508</v>
      </c>
      <c r="H42" s="153">
        <v>56</v>
      </c>
      <c r="I42" s="154" t="s">
        <v>508</v>
      </c>
      <c r="J42" s="153">
        <v>52</v>
      </c>
      <c r="K42" s="154" t="s">
        <v>508</v>
      </c>
      <c r="L42" s="153">
        <v>5</v>
      </c>
      <c r="M42" s="154" t="s">
        <v>508</v>
      </c>
      <c r="N42" s="153">
        <v>8</v>
      </c>
      <c r="O42" s="154" t="s">
        <v>508</v>
      </c>
    </row>
    <row r="43" spans="1:15" s="142" customFormat="1" ht="12.75" customHeight="1" x14ac:dyDescent="0.25">
      <c r="A43" s="151"/>
      <c r="B43" s="152"/>
      <c r="C43" s="219"/>
      <c r="D43" s="153"/>
      <c r="E43" s="154"/>
      <c r="F43" s="153"/>
      <c r="G43" s="154"/>
      <c r="H43" s="153"/>
      <c r="I43" s="154"/>
      <c r="J43" s="153"/>
      <c r="K43" s="154"/>
      <c r="L43" s="153"/>
      <c r="M43" s="154"/>
      <c r="N43" s="153"/>
      <c r="O43" s="154"/>
    </row>
    <row r="44" spans="1:15" s="142" customFormat="1" ht="12.75" customHeight="1" x14ac:dyDescent="0.25">
      <c r="A44" s="151">
        <v>2012</v>
      </c>
      <c r="B44" s="152" t="s">
        <v>1</v>
      </c>
      <c r="C44" s="219"/>
      <c r="D44" s="153">
        <v>434</v>
      </c>
      <c r="E44" s="154" t="s">
        <v>508</v>
      </c>
      <c r="F44" s="153">
        <v>322</v>
      </c>
      <c r="G44" s="154" t="s">
        <v>508</v>
      </c>
      <c r="H44" s="153">
        <v>57</v>
      </c>
      <c r="I44" s="154" t="s">
        <v>508</v>
      </c>
      <c r="J44" s="153">
        <v>44</v>
      </c>
      <c r="K44" s="154" t="s">
        <v>508</v>
      </c>
      <c r="L44" s="153">
        <v>2</v>
      </c>
      <c r="M44" s="154" t="s">
        <v>508</v>
      </c>
      <c r="N44" s="153">
        <v>9</v>
      </c>
      <c r="O44" s="154" t="s">
        <v>508</v>
      </c>
    </row>
    <row r="45" spans="1:15" s="142" customFormat="1" ht="12.75" customHeight="1" x14ac:dyDescent="0.25">
      <c r="A45" s="151"/>
      <c r="B45" s="152" t="s">
        <v>2</v>
      </c>
      <c r="C45" s="219"/>
      <c r="D45" s="153">
        <v>451</v>
      </c>
      <c r="E45" s="154" t="s">
        <v>508</v>
      </c>
      <c r="F45" s="153">
        <v>319</v>
      </c>
      <c r="G45" s="154" t="s">
        <v>508</v>
      </c>
      <c r="H45" s="153">
        <v>53</v>
      </c>
      <c r="I45" s="154" t="s">
        <v>508</v>
      </c>
      <c r="J45" s="153">
        <v>53</v>
      </c>
      <c r="K45" s="154" t="s">
        <v>508</v>
      </c>
      <c r="L45" s="153">
        <v>17</v>
      </c>
      <c r="M45" s="154" t="s">
        <v>508</v>
      </c>
      <c r="N45" s="153">
        <v>9</v>
      </c>
      <c r="O45" s="154" t="s">
        <v>508</v>
      </c>
    </row>
    <row r="46" spans="1:15" s="142" customFormat="1" ht="12.75" customHeight="1" x14ac:dyDescent="0.25">
      <c r="A46" s="151"/>
      <c r="B46" s="152" t="s">
        <v>3</v>
      </c>
      <c r="C46" s="219"/>
      <c r="D46" s="153">
        <v>285</v>
      </c>
      <c r="E46" s="154" t="s">
        <v>280</v>
      </c>
      <c r="F46" s="153">
        <v>186</v>
      </c>
      <c r="G46" s="154" t="s">
        <v>280</v>
      </c>
      <c r="H46" s="153">
        <v>60</v>
      </c>
      <c r="I46" s="154" t="s">
        <v>508</v>
      </c>
      <c r="J46" s="153">
        <v>33</v>
      </c>
      <c r="K46" s="154" t="s">
        <v>508</v>
      </c>
      <c r="L46" s="153">
        <v>1</v>
      </c>
      <c r="M46" s="154" t="s">
        <v>508</v>
      </c>
      <c r="N46" s="153">
        <v>5</v>
      </c>
      <c r="O46" s="154" t="s">
        <v>508</v>
      </c>
    </row>
    <row r="47" spans="1:15" s="142" customFormat="1" ht="12.75" customHeight="1" x14ac:dyDescent="0.25">
      <c r="A47" s="151"/>
      <c r="B47" s="152" t="s">
        <v>4</v>
      </c>
      <c r="C47" s="219"/>
      <c r="D47" s="153">
        <v>207</v>
      </c>
      <c r="E47" s="154" t="s">
        <v>508</v>
      </c>
      <c r="F47" s="153">
        <v>93</v>
      </c>
      <c r="G47" s="154" t="s">
        <v>508</v>
      </c>
      <c r="H47" s="153">
        <v>63</v>
      </c>
      <c r="I47" s="154" t="s">
        <v>508</v>
      </c>
      <c r="J47" s="153">
        <v>39</v>
      </c>
      <c r="K47" s="154" t="s">
        <v>508</v>
      </c>
      <c r="L47" s="153">
        <v>4</v>
      </c>
      <c r="M47" s="154" t="s">
        <v>508</v>
      </c>
      <c r="N47" s="153">
        <v>8</v>
      </c>
      <c r="O47" s="154" t="s">
        <v>508</v>
      </c>
    </row>
    <row r="48" spans="1:15" s="142" customFormat="1" ht="12.75" customHeight="1" x14ac:dyDescent="0.25">
      <c r="A48" s="151"/>
      <c r="B48" s="152"/>
      <c r="C48" s="219"/>
      <c r="D48" s="153"/>
      <c r="E48" s="154"/>
      <c r="F48" s="153"/>
      <c r="G48" s="154"/>
      <c r="H48" s="153"/>
      <c r="I48" s="154"/>
      <c r="J48" s="153"/>
      <c r="K48" s="154"/>
      <c r="L48" s="153"/>
      <c r="M48" s="154"/>
      <c r="N48" s="153"/>
      <c r="O48" s="154"/>
    </row>
    <row r="49" spans="1:15" s="142" customFormat="1" ht="12.75" customHeight="1" x14ac:dyDescent="0.25">
      <c r="A49" s="151">
        <v>2013</v>
      </c>
      <c r="B49" s="152" t="s">
        <v>1</v>
      </c>
      <c r="C49" s="219"/>
      <c r="D49" s="153">
        <v>177</v>
      </c>
      <c r="E49" s="154" t="s">
        <v>508</v>
      </c>
      <c r="F49" s="153">
        <v>69</v>
      </c>
      <c r="G49" s="154" t="s">
        <v>508</v>
      </c>
      <c r="H49" s="153">
        <v>60</v>
      </c>
      <c r="I49" s="154" t="s">
        <v>508</v>
      </c>
      <c r="J49" s="153">
        <v>39</v>
      </c>
      <c r="K49" s="154" t="s">
        <v>508</v>
      </c>
      <c r="L49" s="153">
        <v>2</v>
      </c>
      <c r="M49" s="154" t="s">
        <v>508</v>
      </c>
      <c r="N49" s="153">
        <v>7</v>
      </c>
      <c r="O49" s="154" t="s">
        <v>508</v>
      </c>
    </row>
    <row r="50" spans="1:15" s="142" customFormat="1" ht="12.75" customHeight="1" x14ac:dyDescent="0.25">
      <c r="A50" s="151"/>
      <c r="B50" s="152" t="s">
        <v>2</v>
      </c>
      <c r="C50" s="219"/>
      <c r="D50" s="153">
        <v>205</v>
      </c>
      <c r="E50" s="154" t="s">
        <v>508</v>
      </c>
      <c r="F50" s="153">
        <v>93</v>
      </c>
      <c r="G50" s="154" t="s">
        <v>508</v>
      </c>
      <c r="H50" s="153">
        <v>76</v>
      </c>
      <c r="I50" s="154" t="s">
        <v>508</v>
      </c>
      <c r="J50" s="153">
        <v>30</v>
      </c>
      <c r="K50" s="154" t="s">
        <v>508</v>
      </c>
      <c r="L50" s="153">
        <v>4</v>
      </c>
      <c r="M50" s="154" t="s">
        <v>508</v>
      </c>
      <c r="N50" s="153">
        <v>2</v>
      </c>
      <c r="O50" s="154" t="s">
        <v>508</v>
      </c>
    </row>
    <row r="51" spans="1:15" s="142" customFormat="1" ht="12.75" customHeight="1" x14ac:dyDescent="0.25">
      <c r="A51" s="151"/>
      <c r="B51" s="152" t="s">
        <v>3</v>
      </c>
      <c r="C51" s="219"/>
      <c r="D51" s="153">
        <v>280</v>
      </c>
      <c r="E51" s="154" t="s">
        <v>508</v>
      </c>
      <c r="F51" s="153">
        <v>167</v>
      </c>
      <c r="G51" s="154" t="s">
        <v>508</v>
      </c>
      <c r="H51" s="153">
        <v>75</v>
      </c>
      <c r="I51" s="154" t="s">
        <v>508</v>
      </c>
      <c r="J51" s="153">
        <v>25</v>
      </c>
      <c r="K51" s="154" t="s">
        <v>508</v>
      </c>
      <c r="L51" s="153">
        <v>6</v>
      </c>
      <c r="M51" s="154" t="s">
        <v>508</v>
      </c>
      <c r="N51" s="153">
        <v>7</v>
      </c>
      <c r="O51" s="154" t="s">
        <v>508</v>
      </c>
    </row>
    <row r="52" spans="1:15" s="142" customFormat="1" ht="12.75" customHeight="1" x14ac:dyDescent="0.25">
      <c r="A52" s="151"/>
      <c r="B52" s="152" t="s">
        <v>4</v>
      </c>
      <c r="C52" s="219"/>
      <c r="D52" s="153">
        <v>235</v>
      </c>
      <c r="E52" s="154" t="s">
        <v>508</v>
      </c>
      <c r="F52" s="153">
        <v>155</v>
      </c>
      <c r="G52" s="154" t="s">
        <v>508</v>
      </c>
      <c r="H52" s="153">
        <v>47</v>
      </c>
      <c r="I52" s="154" t="s">
        <v>508</v>
      </c>
      <c r="J52" s="153">
        <v>28</v>
      </c>
      <c r="K52" s="154" t="s">
        <v>508</v>
      </c>
      <c r="L52" s="153">
        <v>4</v>
      </c>
      <c r="M52" s="154" t="s">
        <v>508</v>
      </c>
      <c r="N52" s="153">
        <v>1</v>
      </c>
      <c r="O52" s="154" t="s">
        <v>508</v>
      </c>
    </row>
    <row r="53" spans="1:15" s="142" customFormat="1" ht="12.75" customHeight="1" x14ac:dyDescent="0.25">
      <c r="A53" s="151"/>
      <c r="B53" s="152"/>
      <c r="C53" s="219"/>
      <c r="D53" s="153"/>
      <c r="E53" s="154"/>
      <c r="F53" s="153"/>
      <c r="G53" s="154"/>
      <c r="H53" s="153"/>
      <c r="I53" s="154"/>
      <c r="J53" s="153"/>
      <c r="K53" s="154"/>
      <c r="L53" s="153"/>
      <c r="M53" s="154"/>
      <c r="N53" s="153"/>
      <c r="O53" s="154"/>
    </row>
    <row r="54" spans="1:15" s="142" customFormat="1" ht="12.75" customHeight="1" x14ac:dyDescent="0.25">
      <c r="A54" s="151">
        <v>2014</v>
      </c>
      <c r="B54" s="152" t="s">
        <v>1</v>
      </c>
      <c r="C54" s="219"/>
      <c r="D54" s="153">
        <v>267</v>
      </c>
      <c r="E54" s="154" t="s">
        <v>508</v>
      </c>
      <c r="F54" s="153">
        <v>181</v>
      </c>
      <c r="G54" s="154" t="s">
        <v>508</v>
      </c>
      <c r="H54" s="153">
        <v>51</v>
      </c>
      <c r="I54" s="154" t="s">
        <v>508</v>
      </c>
      <c r="J54" s="153">
        <v>25</v>
      </c>
      <c r="K54" s="154" t="s">
        <v>508</v>
      </c>
      <c r="L54" s="153">
        <v>9</v>
      </c>
      <c r="M54" s="154" t="s">
        <v>508</v>
      </c>
      <c r="N54" s="153">
        <v>1</v>
      </c>
      <c r="O54" s="154" t="s">
        <v>508</v>
      </c>
    </row>
    <row r="55" spans="1:15" s="142" customFormat="1" ht="12.75" customHeight="1" x14ac:dyDescent="0.25">
      <c r="A55" s="151"/>
      <c r="B55" s="152" t="s">
        <v>2</v>
      </c>
      <c r="C55" s="219"/>
      <c r="D55" s="153">
        <v>260</v>
      </c>
      <c r="E55" s="154" t="s">
        <v>508</v>
      </c>
      <c r="F55" s="153">
        <v>183</v>
      </c>
      <c r="G55" s="154" t="s">
        <v>508</v>
      </c>
      <c r="H55" s="153">
        <v>55</v>
      </c>
      <c r="I55" s="154" t="s">
        <v>508</v>
      </c>
      <c r="J55" s="153">
        <v>19</v>
      </c>
      <c r="K55" s="154" t="s">
        <v>508</v>
      </c>
      <c r="L55" s="153">
        <v>2</v>
      </c>
      <c r="M55" s="154" t="s">
        <v>508</v>
      </c>
      <c r="N55" s="153">
        <v>1</v>
      </c>
      <c r="O55" s="154" t="s">
        <v>508</v>
      </c>
    </row>
    <row r="56" spans="1:15" s="142" customFormat="1" ht="12.75" customHeight="1" x14ac:dyDescent="0.25">
      <c r="A56" s="151"/>
      <c r="B56" s="152" t="s">
        <v>3</v>
      </c>
      <c r="C56" s="219"/>
      <c r="D56" s="153">
        <v>220</v>
      </c>
      <c r="E56" s="154" t="s">
        <v>508</v>
      </c>
      <c r="F56" s="153">
        <v>151</v>
      </c>
      <c r="G56" s="154" t="s">
        <v>508</v>
      </c>
      <c r="H56" s="153">
        <v>48</v>
      </c>
      <c r="I56" s="154" t="s">
        <v>508</v>
      </c>
      <c r="J56" s="153">
        <v>19</v>
      </c>
      <c r="K56" s="154" t="s">
        <v>508</v>
      </c>
      <c r="L56" s="153">
        <v>2</v>
      </c>
      <c r="M56" s="154" t="s">
        <v>508</v>
      </c>
      <c r="N56" s="153">
        <v>0</v>
      </c>
      <c r="O56" s="154" t="s">
        <v>508</v>
      </c>
    </row>
    <row r="57" spans="1:15" s="142" customFormat="1" ht="12.75" customHeight="1" x14ac:dyDescent="0.25">
      <c r="A57" s="151"/>
      <c r="B57" s="152" t="s">
        <v>4</v>
      </c>
      <c r="C57" s="219"/>
      <c r="D57" s="153">
        <v>216</v>
      </c>
      <c r="E57" s="154" t="s">
        <v>508</v>
      </c>
      <c r="F57" s="153">
        <v>135</v>
      </c>
      <c r="G57" s="154" t="s">
        <v>508</v>
      </c>
      <c r="H57" s="153">
        <v>53</v>
      </c>
      <c r="I57" s="154" t="s">
        <v>508</v>
      </c>
      <c r="J57" s="153">
        <v>24</v>
      </c>
      <c r="K57" s="154" t="s">
        <v>508</v>
      </c>
      <c r="L57" s="153">
        <v>1</v>
      </c>
      <c r="M57" s="154" t="s">
        <v>508</v>
      </c>
      <c r="N57" s="153">
        <v>3</v>
      </c>
      <c r="O57" s="154" t="s">
        <v>508</v>
      </c>
    </row>
    <row r="58" spans="1:15" s="142" customFormat="1" ht="12.75" customHeight="1" x14ac:dyDescent="0.25">
      <c r="A58" s="151"/>
      <c r="B58" s="152"/>
      <c r="C58" s="219"/>
      <c r="D58" s="153"/>
      <c r="E58" s="154"/>
      <c r="F58" s="153"/>
      <c r="G58" s="154"/>
      <c r="H58" s="153"/>
      <c r="I58" s="154"/>
      <c r="J58" s="153"/>
      <c r="K58" s="154"/>
      <c r="L58" s="153"/>
      <c r="M58" s="154"/>
      <c r="N58" s="153"/>
      <c r="O58" s="154"/>
    </row>
    <row r="59" spans="1:15" s="142" customFormat="1" ht="12.75" customHeight="1" x14ac:dyDescent="0.25">
      <c r="A59" s="151">
        <v>2015</v>
      </c>
      <c r="B59" s="152" t="s">
        <v>1</v>
      </c>
      <c r="C59" s="219"/>
      <c r="D59" s="153">
        <v>220</v>
      </c>
      <c r="E59" s="154" t="s">
        <v>508</v>
      </c>
      <c r="F59" s="153">
        <v>141</v>
      </c>
      <c r="G59" s="154" t="s">
        <v>508</v>
      </c>
      <c r="H59" s="153">
        <v>53</v>
      </c>
      <c r="I59" s="154" t="s">
        <v>508</v>
      </c>
      <c r="J59" s="153">
        <v>24</v>
      </c>
      <c r="K59" s="154" t="s">
        <v>508</v>
      </c>
      <c r="L59" s="153">
        <v>0</v>
      </c>
      <c r="M59" s="154" t="s">
        <v>508</v>
      </c>
      <c r="N59" s="153">
        <v>2</v>
      </c>
      <c r="O59" s="154" t="s">
        <v>508</v>
      </c>
    </row>
    <row r="60" spans="1:15" s="142" customFormat="1" ht="12.75" customHeight="1" x14ac:dyDescent="0.25">
      <c r="A60" s="151"/>
      <c r="B60" s="152" t="s">
        <v>2</v>
      </c>
      <c r="C60" s="219"/>
      <c r="D60" s="153">
        <v>223</v>
      </c>
      <c r="E60" s="154" t="s">
        <v>508</v>
      </c>
      <c r="F60" s="153">
        <v>120</v>
      </c>
      <c r="G60" s="154" t="s">
        <v>508</v>
      </c>
      <c r="H60" s="153">
        <v>72</v>
      </c>
      <c r="I60" s="154" t="s">
        <v>508</v>
      </c>
      <c r="J60" s="153">
        <v>29</v>
      </c>
      <c r="K60" s="154" t="s">
        <v>508</v>
      </c>
      <c r="L60" s="153">
        <v>2</v>
      </c>
      <c r="M60" s="154" t="s">
        <v>508</v>
      </c>
      <c r="N60" s="153">
        <v>0</v>
      </c>
      <c r="O60" s="154" t="s">
        <v>508</v>
      </c>
    </row>
    <row r="61" spans="1:15" s="142" customFormat="1" ht="12.75" customHeight="1" x14ac:dyDescent="0.25">
      <c r="A61" s="151"/>
      <c r="B61" s="152" t="s">
        <v>3</v>
      </c>
      <c r="C61" s="219"/>
      <c r="D61" s="153">
        <v>251</v>
      </c>
      <c r="E61" s="154" t="s">
        <v>508</v>
      </c>
      <c r="F61" s="153">
        <v>168</v>
      </c>
      <c r="G61" s="154" t="s">
        <v>508</v>
      </c>
      <c r="H61" s="153">
        <v>53</v>
      </c>
      <c r="I61" s="154" t="s">
        <v>508</v>
      </c>
      <c r="J61" s="153">
        <v>30</v>
      </c>
      <c r="K61" s="154" t="s">
        <v>508</v>
      </c>
      <c r="L61" s="153">
        <v>0</v>
      </c>
      <c r="M61" s="154" t="s">
        <v>508</v>
      </c>
      <c r="N61" s="153">
        <v>0</v>
      </c>
      <c r="O61" s="154" t="s">
        <v>508</v>
      </c>
    </row>
    <row r="62" spans="1:15" s="142" customFormat="1" ht="12.75" customHeight="1" x14ac:dyDescent="0.25">
      <c r="A62" s="151"/>
      <c r="B62" s="152" t="s">
        <v>4</v>
      </c>
      <c r="C62" s="219"/>
      <c r="D62" s="153">
        <v>254</v>
      </c>
      <c r="E62" s="154" t="s">
        <v>508</v>
      </c>
      <c r="F62" s="153">
        <v>147</v>
      </c>
      <c r="G62" s="154" t="s">
        <v>508</v>
      </c>
      <c r="H62" s="153">
        <v>75</v>
      </c>
      <c r="I62" s="154" t="s">
        <v>508</v>
      </c>
      <c r="J62" s="153">
        <v>26</v>
      </c>
      <c r="K62" s="154" t="s">
        <v>508</v>
      </c>
      <c r="L62" s="153">
        <v>2</v>
      </c>
      <c r="M62" s="154" t="s">
        <v>508</v>
      </c>
      <c r="N62" s="153">
        <v>4</v>
      </c>
      <c r="O62" s="154" t="s">
        <v>508</v>
      </c>
    </row>
    <row r="63" spans="1:15" s="142" customFormat="1" ht="12.75" customHeight="1" x14ac:dyDescent="0.25">
      <c r="A63" s="151"/>
      <c r="B63" s="152"/>
      <c r="C63" s="219"/>
      <c r="D63" s="153"/>
      <c r="E63" s="154"/>
      <c r="F63" s="153"/>
      <c r="G63" s="154"/>
      <c r="H63" s="153"/>
      <c r="I63" s="154"/>
      <c r="J63" s="153"/>
      <c r="K63" s="154"/>
      <c r="L63" s="153"/>
      <c r="M63" s="154"/>
      <c r="N63" s="153"/>
      <c r="O63" s="154"/>
    </row>
    <row r="64" spans="1:15" s="142" customFormat="1" ht="12.75" customHeight="1" x14ac:dyDescent="0.25">
      <c r="A64" s="151">
        <v>2016</v>
      </c>
      <c r="B64" s="152" t="s">
        <v>1</v>
      </c>
      <c r="C64" s="219"/>
      <c r="D64" s="153">
        <v>259</v>
      </c>
      <c r="E64" s="154" t="s">
        <v>280</v>
      </c>
      <c r="F64" s="153">
        <v>143</v>
      </c>
      <c r="G64" s="154" t="s">
        <v>508</v>
      </c>
      <c r="H64" s="153">
        <v>82</v>
      </c>
      <c r="I64" s="154" t="s">
        <v>280</v>
      </c>
      <c r="J64" s="153">
        <v>30</v>
      </c>
      <c r="K64" s="154" t="s">
        <v>508</v>
      </c>
      <c r="L64" s="153">
        <v>4</v>
      </c>
      <c r="M64" s="154" t="s">
        <v>508</v>
      </c>
      <c r="N64" s="153">
        <v>0</v>
      </c>
      <c r="O64" s="154" t="s">
        <v>508</v>
      </c>
    </row>
    <row r="65" spans="1:27" s="142" customFormat="1" ht="12.75" customHeight="1" x14ac:dyDescent="0.25">
      <c r="A65" s="151"/>
      <c r="B65" s="152" t="s">
        <v>2</v>
      </c>
      <c r="C65" s="219"/>
      <c r="D65" s="153">
        <v>290</v>
      </c>
      <c r="E65" s="154" t="s">
        <v>508</v>
      </c>
      <c r="F65" s="153">
        <v>169</v>
      </c>
      <c r="G65" s="154" t="s">
        <v>508</v>
      </c>
      <c r="H65" s="153">
        <v>79</v>
      </c>
      <c r="I65" s="154" t="s">
        <v>508</v>
      </c>
      <c r="J65" s="153">
        <v>33</v>
      </c>
      <c r="K65" s="154" t="s">
        <v>508</v>
      </c>
      <c r="L65" s="153">
        <v>6</v>
      </c>
      <c r="M65" s="154" t="s">
        <v>508</v>
      </c>
      <c r="N65" s="153">
        <v>3</v>
      </c>
      <c r="O65" s="154" t="s">
        <v>508</v>
      </c>
    </row>
    <row r="66" spans="1:27" s="142" customFormat="1" ht="12.75" customHeight="1" x14ac:dyDescent="0.25">
      <c r="A66" s="151"/>
      <c r="B66" s="152" t="s">
        <v>3</v>
      </c>
      <c r="C66" s="219"/>
      <c r="D66" s="153">
        <v>257</v>
      </c>
      <c r="E66" s="154" t="s">
        <v>508</v>
      </c>
      <c r="F66" s="153">
        <v>147</v>
      </c>
      <c r="G66" s="154" t="s">
        <v>508</v>
      </c>
      <c r="H66" s="153">
        <v>56</v>
      </c>
      <c r="I66" s="154" t="s">
        <v>508</v>
      </c>
      <c r="J66" s="153">
        <v>53</v>
      </c>
      <c r="K66" s="154" t="s">
        <v>508</v>
      </c>
      <c r="L66" s="153">
        <v>1</v>
      </c>
      <c r="M66" s="154" t="s">
        <v>508</v>
      </c>
      <c r="N66" s="153">
        <v>0</v>
      </c>
      <c r="O66" s="154" t="s">
        <v>508</v>
      </c>
    </row>
    <row r="67" spans="1:27" s="142" customFormat="1" ht="12.75" customHeight="1" x14ac:dyDescent="0.25">
      <c r="A67" s="152"/>
      <c r="B67" s="152" t="s">
        <v>4</v>
      </c>
      <c r="C67" s="219" t="s">
        <v>197</v>
      </c>
      <c r="D67" s="153">
        <v>228</v>
      </c>
      <c r="E67" s="154" t="s">
        <v>280</v>
      </c>
      <c r="F67" s="153">
        <v>132</v>
      </c>
      <c r="G67" s="154" t="s">
        <v>280</v>
      </c>
      <c r="H67" s="153">
        <v>65</v>
      </c>
      <c r="I67" s="154" t="s">
        <v>280</v>
      </c>
      <c r="J67" s="153">
        <v>29</v>
      </c>
      <c r="K67" s="154" t="s">
        <v>280</v>
      </c>
      <c r="L67" s="153">
        <v>2</v>
      </c>
      <c r="M67" s="154" t="s">
        <v>508</v>
      </c>
      <c r="N67" s="153">
        <v>0</v>
      </c>
      <c r="O67" s="154" t="s">
        <v>508</v>
      </c>
    </row>
    <row r="68" spans="1:27" s="142" customFormat="1" ht="12.75" customHeight="1" x14ac:dyDescent="0.25">
      <c r="A68" s="151"/>
      <c r="B68" s="152"/>
      <c r="C68" s="219"/>
      <c r="D68" s="153"/>
      <c r="E68" s="154"/>
      <c r="F68" s="153"/>
      <c r="G68" s="154"/>
      <c r="H68" s="153"/>
      <c r="I68" s="154"/>
      <c r="J68" s="153"/>
      <c r="K68" s="154"/>
      <c r="L68" s="153"/>
      <c r="M68" s="154"/>
      <c r="N68" s="153"/>
      <c r="O68" s="154"/>
    </row>
    <row r="69" spans="1:27" s="142" customFormat="1" ht="12.75" customHeight="1" x14ac:dyDescent="0.25">
      <c r="A69" s="151">
        <v>2017</v>
      </c>
      <c r="B69" s="152" t="s">
        <v>1</v>
      </c>
      <c r="C69" s="219" t="s">
        <v>415</v>
      </c>
      <c r="D69" s="153">
        <v>172</v>
      </c>
      <c r="E69" s="154" t="s">
        <v>508</v>
      </c>
      <c r="F69" s="153">
        <v>88</v>
      </c>
      <c r="G69" s="154" t="s">
        <v>508</v>
      </c>
      <c r="H69" s="153">
        <v>63</v>
      </c>
      <c r="I69" s="154" t="s">
        <v>508</v>
      </c>
      <c r="J69" s="153">
        <v>20</v>
      </c>
      <c r="K69" s="154" t="s">
        <v>508</v>
      </c>
      <c r="L69" s="153">
        <v>1</v>
      </c>
      <c r="M69" s="154" t="s">
        <v>508</v>
      </c>
      <c r="N69" s="153">
        <v>0</v>
      </c>
      <c r="O69" s="154" t="s">
        <v>508</v>
      </c>
      <c r="AA69" s="142" t="s">
        <v>508</v>
      </c>
    </row>
    <row r="70" spans="1:27" s="142" customFormat="1" ht="12.75" customHeight="1" thickBot="1" x14ac:dyDescent="0.3">
      <c r="A70" s="152"/>
      <c r="B70" s="156"/>
      <c r="C70" s="156"/>
      <c r="D70" s="153"/>
      <c r="E70" s="154"/>
      <c r="F70" s="153"/>
      <c r="G70" s="154"/>
      <c r="H70" s="153"/>
      <c r="I70" s="154"/>
      <c r="J70" s="153"/>
      <c r="K70" s="154"/>
      <c r="L70" s="153"/>
      <c r="M70" s="154"/>
      <c r="N70" s="153"/>
      <c r="O70" s="154"/>
    </row>
    <row r="71" spans="1:27" s="142" customFormat="1" ht="12.75" customHeight="1" x14ac:dyDescent="0.2">
      <c r="A71" s="159" t="s">
        <v>509</v>
      </c>
      <c r="B71" s="159"/>
      <c r="C71" s="159"/>
      <c r="D71" s="159"/>
      <c r="E71" s="221"/>
      <c r="F71" s="159"/>
      <c r="G71" s="221"/>
      <c r="H71" s="159"/>
      <c r="I71" s="221"/>
      <c r="J71" s="159"/>
      <c r="K71" s="221"/>
      <c r="L71" s="159"/>
      <c r="M71" s="221"/>
      <c r="N71" s="159"/>
      <c r="O71" s="221"/>
    </row>
    <row r="72" spans="1:27" s="142" customFormat="1" ht="12.75" customHeight="1" x14ac:dyDescent="0.2">
      <c r="A72" s="160"/>
      <c r="B72" s="160"/>
      <c r="C72" s="160"/>
      <c r="D72" s="160"/>
      <c r="E72" s="161"/>
      <c r="F72" s="160"/>
      <c r="G72" s="161"/>
      <c r="H72" s="160"/>
      <c r="I72" s="161"/>
      <c r="J72" s="160"/>
      <c r="K72" s="161"/>
      <c r="L72" s="160"/>
      <c r="M72" s="161"/>
      <c r="N72" s="160"/>
      <c r="O72" s="161"/>
    </row>
    <row r="73" spans="1:27" s="142" customFormat="1" ht="12.75" hidden="1" customHeight="1" x14ac:dyDescent="0.2">
      <c r="A73" s="162">
        <v>2016</v>
      </c>
      <c r="B73" s="163" t="s">
        <v>4</v>
      </c>
      <c r="C73" s="163"/>
      <c r="D73" s="164" t="s">
        <v>121</v>
      </c>
      <c r="E73" s="161"/>
      <c r="F73" s="164" t="s">
        <v>121</v>
      </c>
      <c r="G73" s="161"/>
      <c r="H73" s="164" t="s">
        <v>121</v>
      </c>
      <c r="I73" s="161"/>
      <c r="J73" s="164" t="s">
        <v>121</v>
      </c>
      <c r="K73" s="161"/>
      <c r="L73" s="164" t="s">
        <v>121</v>
      </c>
      <c r="M73" s="161"/>
      <c r="N73" s="164" t="s">
        <v>121</v>
      </c>
      <c r="O73" s="161"/>
    </row>
    <row r="74" spans="1:27" s="142" customFormat="1" ht="12.75" hidden="1" customHeight="1" x14ac:dyDescent="0.2">
      <c r="A74" s="165"/>
      <c r="B74" s="166"/>
      <c r="C74" s="166"/>
      <c r="D74" s="167"/>
      <c r="E74" s="281"/>
      <c r="F74" s="167"/>
      <c r="G74" s="281"/>
      <c r="H74" s="167"/>
      <c r="I74" s="281"/>
      <c r="J74" s="167"/>
      <c r="K74" s="281"/>
      <c r="L74" s="167"/>
      <c r="M74" s="281"/>
      <c r="N74" s="167"/>
      <c r="O74" s="281"/>
    </row>
    <row r="75" spans="1:27" s="142" customFormat="1" ht="12.75" customHeight="1" thickBot="1" x14ac:dyDescent="0.25">
      <c r="A75" s="157">
        <v>2016</v>
      </c>
      <c r="B75" s="158" t="s">
        <v>1</v>
      </c>
      <c r="C75" s="158"/>
      <c r="D75" s="168">
        <v>-33.590733590733592</v>
      </c>
      <c r="E75" s="282"/>
      <c r="F75" s="168">
        <v>-38.46153846153846</v>
      </c>
      <c r="G75" s="282"/>
      <c r="H75" s="168">
        <v>-23.170731707317071</v>
      </c>
      <c r="I75" s="282"/>
      <c r="J75" s="168">
        <v>-33.333333333333336</v>
      </c>
      <c r="K75" s="282"/>
      <c r="L75" s="168">
        <v>-75</v>
      </c>
      <c r="M75" s="282"/>
      <c r="N75" s="168" t="s">
        <v>505</v>
      </c>
      <c r="O75" s="282"/>
      <c r="Q75" s="313"/>
    </row>
    <row r="76" spans="1:27" s="169" customFormat="1" ht="12.75" customHeight="1" x14ac:dyDescent="0.2">
      <c r="A76" s="362"/>
      <c r="B76" s="362"/>
      <c r="C76" s="362"/>
      <c r="D76" s="362"/>
      <c r="E76" s="362"/>
      <c r="F76" s="362"/>
      <c r="G76" s="362"/>
      <c r="H76" s="362"/>
      <c r="I76" s="362"/>
      <c r="J76" s="362"/>
      <c r="K76" s="362"/>
      <c r="L76" s="362"/>
      <c r="M76" s="362"/>
      <c r="N76" s="362"/>
      <c r="O76" s="362"/>
    </row>
    <row r="77" spans="1:27" s="169" customFormat="1" ht="12.75" customHeight="1" x14ac:dyDescent="0.2">
      <c r="A77" s="340" t="s">
        <v>266</v>
      </c>
      <c r="B77" s="340"/>
      <c r="C77" s="340"/>
      <c r="D77" s="340"/>
      <c r="E77" s="340"/>
      <c r="F77" s="340"/>
      <c r="G77" s="340"/>
      <c r="H77" s="340"/>
      <c r="I77" s="340"/>
      <c r="J77" s="340"/>
      <c r="K77" s="340"/>
      <c r="L77" s="340"/>
      <c r="M77" s="340"/>
      <c r="N77" s="340"/>
      <c r="O77" s="340"/>
    </row>
    <row r="78" spans="1:27" s="170" customFormat="1" ht="15" x14ac:dyDescent="0.3">
      <c r="A78" s="340" t="s">
        <v>482</v>
      </c>
      <c r="B78" s="340"/>
      <c r="C78" s="340"/>
      <c r="D78" s="340"/>
      <c r="E78" s="340"/>
      <c r="F78" s="340"/>
      <c r="G78" s="340"/>
      <c r="H78" s="340"/>
      <c r="I78" s="340"/>
      <c r="J78" s="340"/>
      <c r="K78" s="340"/>
      <c r="L78" s="340"/>
      <c r="M78" s="340"/>
      <c r="N78" s="340"/>
      <c r="O78" s="340"/>
    </row>
    <row r="79" spans="1:27" s="171" customFormat="1" ht="30" customHeight="1" x14ac:dyDescent="0.3">
      <c r="A79" s="340" t="s">
        <v>487</v>
      </c>
      <c r="B79" s="340"/>
      <c r="C79" s="340"/>
      <c r="D79" s="340"/>
      <c r="E79" s="340"/>
      <c r="F79" s="340"/>
      <c r="G79" s="340"/>
      <c r="H79" s="340"/>
      <c r="I79" s="340"/>
      <c r="J79" s="340"/>
      <c r="K79" s="340"/>
      <c r="L79" s="340"/>
      <c r="M79" s="340"/>
      <c r="N79" s="340"/>
      <c r="O79" s="340"/>
    </row>
    <row r="80" spans="1:27" s="171" customFormat="1" ht="15" x14ac:dyDescent="0.3">
      <c r="A80" s="340" t="s">
        <v>483</v>
      </c>
      <c r="B80" s="340"/>
      <c r="C80" s="340"/>
      <c r="D80" s="340"/>
      <c r="E80" s="340"/>
      <c r="F80" s="340"/>
      <c r="G80" s="340"/>
      <c r="H80" s="340"/>
      <c r="I80" s="340"/>
      <c r="J80" s="340"/>
      <c r="K80" s="340"/>
      <c r="L80" s="340"/>
      <c r="M80" s="340"/>
      <c r="N80" s="340"/>
      <c r="O80" s="340"/>
    </row>
  </sheetData>
  <dataConsolidate/>
  <mergeCells count="12">
    <mergeCell ref="A76:O76"/>
    <mergeCell ref="A77:O77"/>
    <mergeCell ref="A80:O80"/>
    <mergeCell ref="A79:O79"/>
    <mergeCell ref="A78:O78"/>
    <mergeCell ref="J6:O6"/>
    <mergeCell ref="D7:E7"/>
    <mergeCell ref="F7:G7"/>
    <mergeCell ref="H7:I7"/>
    <mergeCell ref="J7:K7"/>
    <mergeCell ref="L7:M7"/>
    <mergeCell ref="N7:O7"/>
  </mergeCells>
  <hyperlinks>
    <hyperlink ref="A5" location="'Table Contents'!A1" display="Back to contents"/>
  </hyperlinks>
  <printOptions horizontalCentered="1" verticalCentered="1" gridLinesSet="0"/>
  <pageMargins left="0.19685039370078741" right="0.19685039370078741" top="0.19685039370078741" bottom="0.19685039370078741" header="0.39370078740157483" footer="0.39370078740157483"/>
  <pageSetup paperSize="9" scale="76"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dimension ref="A1:EJ78"/>
  <sheetViews>
    <sheetView zoomScale="115" workbookViewId="0">
      <pane xSplit="7" ySplit="3" topLeftCell="H55" activePane="bottomRight" state="frozen"/>
      <selection activeCell="C3" sqref="C3"/>
      <selection pane="topRight" activeCell="C3" sqref="C3"/>
      <selection pane="bottomLeft" activeCell="C3" sqref="C3"/>
      <selection pane="bottomRight" activeCell="I60" sqref="I60"/>
    </sheetView>
  </sheetViews>
  <sheetFormatPr defaultColWidth="8.7109375" defaultRowHeight="8.25" x14ac:dyDescent="0.15"/>
  <cols>
    <col min="1" max="4" width="8.7109375" style="1" customWidth="1"/>
    <col min="5" max="5" width="5.28515625" style="1" customWidth="1"/>
    <col min="6" max="6" width="8.7109375" style="1" customWidth="1"/>
    <col min="7" max="7" width="3.85546875" style="1" customWidth="1"/>
    <col min="8" max="13" width="8.7109375" style="1" customWidth="1"/>
    <col min="14" max="14" width="3.42578125" style="1" customWidth="1"/>
    <col min="15" max="15" width="8.7109375" style="119" customWidth="1"/>
    <col min="16" max="16" width="3.7109375" style="1" customWidth="1"/>
    <col min="17" max="23" width="8.7109375" style="1" customWidth="1"/>
    <col min="24" max="24" width="4.140625" style="1" customWidth="1"/>
    <col min="25" max="35" width="8.7109375" style="1" customWidth="1"/>
    <col min="36" max="38" width="8.7109375" style="124" customWidth="1"/>
    <col min="39" max="39" width="4" style="1" customWidth="1"/>
    <col min="40" max="43" width="8.7109375" style="119" customWidth="1"/>
    <col min="44" max="44" width="4.42578125" style="1" customWidth="1"/>
    <col min="45" max="47" width="8.7109375" style="119" customWidth="1"/>
    <col min="48" max="48" width="4.42578125" style="1" customWidth="1"/>
    <col min="49" max="79" width="8.7109375" style="1" customWidth="1"/>
    <col min="80" max="83" width="8.7109375" style="119" customWidth="1"/>
    <col min="84" max="85" width="8.7109375" style="1" customWidth="1"/>
    <col min="86" max="86" width="8.7109375" style="119" customWidth="1"/>
    <col min="87" max="88" width="8.7109375" style="1" customWidth="1"/>
    <col min="89" max="16384" width="8.7109375" style="3"/>
  </cols>
  <sheetData>
    <row r="1" spans="1:140" x14ac:dyDescent="0.15">
      <c r="H1" s="333" t="s">
        <v>49</v>
      </c>
      <c r="I1" s="333"/>
      <c r="J1" s="333"/>
      <c r="K1" s="333"/>
      <c r="L1" s="333"/>
      <c r="M1" s="333"/>
      <c r="N1" s="9"/>
      <c r="O1" s="123" t="s">
        <v>104</v>
      </c>
      <c r="P1" s="9"/>
      <c r="Q1" s="333" t="s">
        <v>50</v>
      </c>
      <c r="R1" s="333"/>
      <c r="S1" s="333"/>
      <c r="T1" s="333"/>
      <c r="U1" s="333"/>
      <c r="V1" s="333"/>
      <c r="W1" s="333"/>
      <c r="X1" s="9"/>
      <c r="Y1" s="333" t="s">
        <v>78</v>
      </c>
      <c r="Z1" s="333"/>
      <c r="AA1" s="333"/>
      <c r="AB1" s="333"/>
      <c r="AC1" s="333"/>
      <c r="AD1" s="333"/>
      <c r="AE1" s="333"/>
      <c r="AF1" s="333"/>
      <c r="AG1" s="333"/>
      <c r="AH1" s="333"/>
      <c r="AI1" s="9"/>
      <c r="AJ1" s="335" t="s">
        <v>51</v>
      </c>
      <c r="AK1" s="335"/>
      <c r="AL1" s="335"/>
      <c r="AM1" s="9"/>
      <c r="AN1" s="336" t="s">
        <v>51</v>
      </c>
      <c r="AO1" s="336"/>
      <c r="AP1" s="336"/>
      <c r="AQ1" s="336"/>
      <c r="AS1" s="336" t="s">
        <v>105</v>
      </c>
      <c r="AT1" s="336"/>
      <c r="AU1" s="336"/>
      <c r="AW1" s="333" t="s">
        <v>107</v>
      </c>
      <c r="AX1" s="333"/>
      <c r="AY1" s="333"/>
      <c r="AZ1" s="333"/>
      <c r="BB1" s="333" t="s">
        <v>79</v>
      </c>
      <c r="BC1" s="333"/>
      <c r="BD1" s="333"/>
      <c r="BE1" s="333"/>
      <c r="BF1" s="333"/>
      <c r="BG1" s="333"/>
      <c r="BH1" s="333"/>
      <c r="BJ1" s="333" t="s">
        <v>80</v>
      </c>
      <c r="BK1" s="333"/>
      <c r="BL1" s="333"/>
      <c r="BM1" s="333"/>
      <c r="BO1" s="333" t="s">
        <v>55</v>
      </c>
      <c r="BP1" s="333"/>
      <c r="BQ1" s="333"/>
      <c r="BR1" s="333"/>
      <c r="BS1" s="333"/>
      <c r="BT1" s="333"/>
      <c r="BU1" s="333"/>
      <c r="BW1" s="333" t="s">
        <v>56</v>
      </c>
      <c r="BX1" s="333"/>
      <c r="BY1" s="333"/>
      <c r="BZ1" s="333"/>
      <c r="CB1" s="336" t="s">
        <v>108</v>
      </c>
      <c r="CC1" s="336"/>
      <c r="CD1" s="336"/>
      <c r="CE1" s="336"/>
      <c r="EC1" s="3" t="s">
        <v>84</v>
      </c>
    </row>
    <row r="2" spans="1:140" ht="12.75" customHeight="1" x14ac:dyDescent="0.15">
      <c r="A2" s="2" t="s">
        <v>25</v>
      </c>
      <c r="H2" s="333" t="s">
        <v>47</v>
      </c>
      <c r="I2" s="333"/>
      <c r="J2" s="333"/>
      <c r="K2" s="333" t="s">
        <v>48</v>
      </c>
      <c r="L2" s="333"/>
      <c r="M2" s="333"/>
      <c r="N2" s="9"/>
      <c r="P2" s="9"/>
      <c r="Q2" s="333" t="s">
        <v>47</v>
      </c>
      <c r="R2" s="333"/>
      <c r="S2" s="333"/>
      <c r="T2" s="333"/>
      <c r="U2" s="333" t="s">
        <v>48</v>
      </c>
      <c r="V2" s="333"/>
      <c r="W2" s="333"/>
      <c r="X2" s="9"/>
      <c r="Y2" s="9"/>
      <c r="Z2" s="9"/>
      <c r="AA2" s="9"/>
      <c r="AB2" s="9"/>
      <c r="AC2" s="9"/>
      <c r="AD2" s="9"/>
      <c r="AE2" s="9"/>
      <c r="AF2" s="9"/>
      <c r="AG2" s="9"/>
      <c r="CG2" s="2" t="s">
        <v>24</v>
      </c>
      <c r="CH2" s="120"/>
      <c r="CM2" s="333" t="s">
        <v>29</v>
      </c>
      <c r="CN2" s="333"/>
      <c r="CO2" s="333"/>
      <c r="CP2" s="9"/>
      <c r="CQ2" s="333" t="s">
        <v>30</v>
      </c>
      <c r="CR2" s="333"/>
      <c r="CS2" s="333"/>
      <c r="CT2" s="9"/>
      <c r="CU2" s="333" t="s">
        <v>68</v>
      </c>
      <c r="CV2" s="333"/>
      <c r="CW2" s="333"/>
      <c r="CX2" s="333"/>
      <c r="CY2" s="9"/>
      <c r="CZ2" s="333" t="s">
        <v>72</v>
      </c>
      <c r="DA2" s="333"/>
      <c r="DB2" s="333"/>
      <c r="DD2" s="334" t="s">
        <v>73</v>
      </c>
      <c r="DE2" s="334"/>
      <c r="DF2" s="334"/>
      <c r="DG2" s="65"/>
      <c r="DH2" s="333" t="s">
        <v>74</v>
      </c>
      <c r="DI2" s="333"/>
      <c r="DJ2" s="333"/>
      <c r="DK2" s="333"/>
      <c r="DM2" s="333" t="s">
        <v>75</v>
      </c>
      <c r="DN2" s="333"/>
      <c r="DO2" s="333"/>
      <c r="DQ2" s="334" t="s">
        <v>76</v>
      </c>
      <c r="DR2" s="334"/>
      <c r="DS2" s="334"/>
      <c r="DU2" s="9"/>
      <c r="DV2" s="9"/>
      <c r="DW2" s="9"/>
      <c r="DX2" s="9"/>
      <c r="DY2" s="334" t="s">
        <v>77</v>
      </c>
      <c r="DZ2" s="334"/>
      <c r="EA2" s="334"/>
      <c r="ED2" s="334" t="s">
        <v>83</v>
      </c>
      <c r="EE2" s="334"/>
      <c r="EF2" s="334"/>
      <c r="EH2" s="334" t="s">
        <v>82</v>
      </c>
      <c r="EI2" s="334"/>
      <c r="EJ2" s="334"/>
    </row>
    <row r="3" spans="1:140" s="6" customFormat="1" ht="49.5" x14ac:dyDescent="0.15">
      <c r="A3" s="4" t="s">
        <v>1</v>
      </c>
      <c r="B3" s="4" t="s">
        <v>2</v>
      </c>
      <c r="C3" s="4" t="s">
        <v>3</v>
      </c>
      <c r="D3" s="4" t="s">
        <v>4</v>
      </c>
      <c r="E3" s="4"/>
      <c r="F3" s="4"/>
      <c r="G3" s="4"/>
      <c r="H3" s="5" t="s">
        <v>6</v>
      </c>
      <c r="I3" s="5" t="s">
        <v>7</v>
      </c>
      <c r="J3" s="5" t="s">
        <v>8</v>
      </c>
      <c r="K3" s="5" t="s">
        <v>6</v>
      </c>
      <c r="L3" s="5" t="s">
        <v>7</v>
      </c>
      <c r="M3" s="5" t="s">
        <v>8</v>
      </c>
      <c r="N3" s="5"/>
      <c r="O3" s="121" t="s">
        <v>70</v>
      </c>
      <c r="P3" s="5"/>
      <c r="Q3" s="5" t="s">
        <v>14</v>
      </c>
      <c r="R3" s="5" t="s">
        <v>10</v>
      </c>
      <c r="S3" s="5" t="s">
        <v>86</v>
      </c>
      <c r="T3" s="5" t="s">
        <v>32</v>
      </c>
      <c r="U3" s="5" t="s">
        <v>14</v>
      </c>
      <c r="V3" s="5" t="s">
        <v>10</v>
      </c>
      <c r="W3" s="5" t="s">
        <v>32</v>
      </c>
      <c r="X3" s="5"/>
      <c r="Y3" s="5" t="s">
        <v>10</v>
      </c>
      <c r="Z3" s="5" t="s">
        <v>43</v>
      </c>
      <c r="AA3" s="5" t="s">
        <v>52</v>
      </c>
      <c r="AB3" s="5" t="s">
        <v>13</v>
      </c>
      <c r="AC3" s="5" t="s">
        <v>28</v>
      </c>
      <c r="AD3" s="5" t="s">
        <v>10</v>
      </c>
      <c r="AE3" s="5" t="s">
        <v>45</v>
      </c>
      <c r="AF3" s="5" t="s">
        <v>53</v>
      </c>
      <c r="AG3" s="5" t="s">
        <v>46</v>
      </c>
      <c r="AH3" s="5" t="s">
        <v>54</v>
      </c>
      <c r="AI3" s="5"/>
      <c r="AJ3" s="125" t="s">
        <v>44</v>
      </c>
      <c r="AK3" s="125" t="s">
        <v>17</v>
      </c>
      <c r="AL3" s="125" t="s">
        <v>18</v>
      </c>
      <c r="AM3" s="5"/>
      <c r="AN3" s="121" t="s">
        <v>99</v>
      </c>
      <c r="AO3" s="121" t="s">
        <v>100</v>
      </c>
      <c r="AP3" s="121" t="s">
        <v>101</v>
      </c>
      <c r="AQ3" s="121" t="s">
        <v>102</v>
      </c>
      <c r="AR3" s="5"/>
      <c r="AS3" s="121" t="s">
        <v>106</v>
      </c>
      <c r="AT3" s="121" t="s">
        <v>26</v>
      </c>
      <c r="AU3" s="121" t="s">
        <v>27</v>
      </c>
      <c r="AV3" s="5"/>
      <c r="AW3" s="5" t="s">
        <v>40</v>
      </c>
      <c r="AX3" s="5" t="s">
        <v>41</v>
      </c>
      <c r="AY3" s="5" t="s">
        <v>39</v>
      </c>
      <c r="AZ3" s="5" t="s">
        <v>34</v>
      </c>
      <c r="BA3" s="5"/>
      <c r="BB3" s="5" t="s">
        <v>14</v>
      </c>
      <c r="BC3" s="5" t="s">
        <v>15</v>
      </c>
      <c r="BD3" s="5" t="s">
        <v>71</v>
      </c>
      <c r="BE3" s="5" t="s">
        <v>16</v>
      </c>
      <c r="BF3" s="5" t="s">
        <v>6</v>
      </c>
      <c r="BG3" s="5" t="s">
        <v>7</v>
      </c>
      <c r="BH3" s="5" t="s">
        <v>33</v>
      </c>
      <c r="BI3" s="5"/>
      <c r="BJ3" s="5" t="s">
        <v>40</v>
      </c>
      <c r="BK3" s="5" t="s">
        <v>41</v>
      </c>
      <c r="BL3" s="5" t="s">
        <v>39</v>
      </c>
      <c r="BM3" s="5" t="s">
        <v>34</v>
      </c>
      <c r="BN3" s="5"/>
      <c r="BO3" s="5" t="s">
        <v>14</v>
      </c>
      <c r="BP3" s="5" t="s">
        <v>10</v>
      </c>
      <c r="BQ3" s="5" t="s">
        <v>88</v>
      </c>
      <c r="BR3" s="5" t="s">
        <v>32</v>
      </c>
      <c r="BS3" s="5" t="s">
        <v>6</v>
      </c>
      <c r="BT3" s="5" t="s">
        <v>7</v>
      </c>
      <c r="BU3" s="5" t="s">
        <v>33</v>
      </c>
      <c r="BV3" s="5"/>
      <c r="BW3" s="5" t="s">
        <v>61</v>
      </c>
      <c r="BX3" s="5" t="s">
        <v>62</v>
      </c>
      <c r="BY3" s="5" t="s">
        <v>63</v>
      </c>
      <c r="BZ3" s="5" t="s">
        <v>64</v>
      </c>
      <c r="CA3" s="5"/>
      <c r="CB3" s="121" t="s">
        <v>5</v>
      </c>
      <c r="CC3" s="121" t="s">
        <v>9</v>
      </c>
      <c r="CD3" s="121" t="s">
        <v>103</v>
      </c>
      <c r="CE3" s="121" t="s">
        <v>11</v>
      </c>
      <c r="CF3" s="5"/>
      <c r="CG3" s="5"/>
      <c r="CH3" s="121"/>
      <c r="CI3" s="5"/>
      <c r="CM3" s="66" t="s">
        <v>9</v>
      </c>
      <c r="CN3" s="66" t="s">
        <v>11</v>
      </c>
      <c r="CO3" s="66" t="s">
        <v>14</v>
      </c>
      <c r="CP3" s="66"/>
      <c r="CQ3" s="66" t="s">
        <v>7</v>
      </c>
      <c r="CR3" s="66" t="s">
        <v>92</v>
      </c>
      <c r="CS3" s="66" t="s">
        <v>6</v>
      </c>
      <c r="CT3" s="66"/>
      <c r="CU3" s="66" t="s">
        <v>40</v>
      </c>
      <c r="CV3" s="66" t="s">
        <v>41</v>
      </c>
      <c r="CW3" s="66" t="s">
        <v>39</v>
      </c>
      <c r="CX3" s="5" t="s">
        <v>34</v>
      </c>
      <c r="CY3" s="5"/>
      <c r="CZ3" s="66" t="s">
        <v>15</v>
      </c>
      <c r="DA3" s="66" t="s">
        <v>16</v>
      </c>
      <c r="DB3" s="66" t="s">
        <v>14</v>
      </c>
      <c r="DD3" s="5" t="s">
        <v>7</v>
      </c>
      <c r="DE3" s="66" t="s">
        <v>8</v>
      </c>
      <c r="DF3" s="5" t="s">
        <v>6</v>
      </c>
      <c r="DG3" s="66"/>
      <c r="DH3" s="66" t="s">
        <v>40</v>
      </c>
      <c r="DI3" s="66" t="s">
        <v>41</v>
      </c>
      <c r="DJ3" s="66" t="s">
        <v>39</v>
      </c>
      <c r="DK3" s="5" t="s">
        <v>34</v>
      </c>
      <c r="DM3" s="66" t="s">
        <v>10</v>
      </c>
      <c r="DN3" s="66" t="s">
        <v>11</v>
      </c>
      <c r="DO3" s="66" t="s">
        <v>14</v>
      </c>
      <c r="DP3" s="5"/>
      <c r="DQ3" s="5" t="s">
        <v>7</v>
      </c>
      <c r="DR3" s="66" t="s">
        <v>8</v>
      </c>
      <c r="DS3" s="5" t="s">
        <v>6</v>
      </c>
      <c r="DT3" s="5"/>
      <c r="DU3" s="5"/>
      <c r="DV3" s="5"/>
      <c r="DW3" s="5"/>
      <c r="DX3" s="5"/>
      <c r="DY3" s="66" t="s">
        <v>45</v>
      </c>
      <c r="DZ3" s="66" t="s">
        <v>46</v>
      </c>
      <c r="EA3" s="66" t="s">
        <v>69</v>
      </c>
      <c r="ED3" s="66" t="s">
        <v>9</v>
      </c>
      <c r="EE3" s="66" t="s">
        <v>11</v>
      </c>
      <c r="EF3" s="66" t="s">
        <v>14</v>
      </c>
      <c r="EH3" s="6" t="s">
        <v>7</v>
      </c>
      <c r="EI3" s="6" t="s">
        <v>8</v>
      </c>
      <c r="EJ3" s="6" t="s">
        <v>81</v>
      </c>
    </row>
    <row r="4" spans="1:140" x14ac:dyDescent="0.15">
      <c r="A4" s="1">
        <v>40</v>
      </c>
      <c r="B4" s="1">
        <v>41</v>
      </c>
      <c r="C4" s="1">
        <v>42</v>
      </c>
      <c r="D4" s="1">
        <v>39</v>
      </c>
      <c r="F4" s="1">
        <f>IF('Input data (2)'!C2=4,'Input data (2)'!C1-9,'Input data (2)'!C1-10)</f>
        <v>2003</v>
      </c>
      <c r="H4" s="1">
        <f t="shared" ref="H4:J13" si="0">SUMIF($F$15:$F$68,$F4,H$15:H$68)</f>
        <v>14184</v>
      </c>
      <c r="I4" s="1">
        <f t="shared" si="0"/>
        <v>5234</v>
      </c>
      <c r="J4" s="1">
        <f t="shared" si="0"/>
        <v>8950</v>
      </c>
      <c r="O4" s="119">
        <f t="shared" ref="O4:O13" ca="1" si="1">SUMIF($F$15:$F$68,$F4,O$15:O$68)</f>
        <v>0</v>
      </c>
      <c r="Q4" s="1">
        <f t="shared" ref="Q4:T13" ca="1" si="2">SUMIF($F$15:$F$68,$F4,Q$15:Q$68)</f>
        <v>35604</v>
      </c>
      <c r="R4" s="1">
        <f t="shared" ca="1" si="2"/>
        <v>28021</v>
      </c>
      <c r="S4" s="1">
        <f t="shared" ca="1" si="2"/>
        <v>0</v>
      </c>
      <c r="T4" s="1">
        <f t="shared" ca="1" si="2"/>
        <v>7583</v>
      </c>
      <c r="Y4" s="1">
        <f t="shared" ref="Y4:Z13" ca="1" si="3">SUMIF($F$15:$F$68,$F4,Y$15:Y$68)</f>
        <v>28021</v>
      </c>
      <c r="Z4" s="1">
        <f t="shared" ca="1" si="3"/>
        <v>19882</v>
      </c>
      <c r="AB4" s="1">
        <f t="shared" ref="AB4:AB13" ca="1" si="4">SUMIF($F$15:$F$68,$F4,AB$15:AB$68)</f>
        <v>8139</v>
      </c>
      <c r="AD4" s="1">
        <f t="shared" ref="AD4:AE13" ca="1" si="5">SUMIF($F$15:$F$68,$F4,AD$15:AD$68)</f>
        <v>28021</v>
      </c>
      <c r="AE4" s="1">
        <f t="shared" ca="1" si="5"/>
        <v>9139</v>
      </c>
      <c r="AG4" s="1">
        <f t="shared" ref="AG4:AG13" ca="1" si="6">SUMIF($F$15:$F$68,$F4,AG$15:AG$68)</f>
        <v>18882</v>
      </c>
      <c r="AJ4" s="124">
        <f t="shared" ref="AJ4:AL13" ca="1" si="7">SUMIF($F$15:$F$68,$F4,AJ$15:AJ$68)</f>
        <v>2812</v>
      </c>
      <c r="AK4" s="124">
        <f t="shared" ca="1" si="7"/>
        <v>2720</v>
      </c>
      <c r="AL4" s="124">
        <f t="shared" ca="1" si="7"/>
        <v>92</v>
      </c>
      <c r="AW4" s="1">
        <f t="shared" ref="AW4:AZ13" ca="1" si="8">SUMIF($F$15:$F$68,$F4,AW$15:AW$68)</f>
        <v>1261</v>
      </c>
      <c r="AX4" s="1">
        <f t="shared" ca="1" si="8"/>
        <v>497</v>
      </c>
      <c r="AY4" s="1">
        <f t="shared" ca="1" si="8"/>
        <v>247</v>
      </c>
      <c r="AZ4" s="1">
        <f t="shared" ca="1" si="8"/>
        <v>726</v>
      </c>
      <c r="BB4" s="1">
        <f t="shared" ref="BB4:BH13" ca="1" si="9">SUMIF($F$15:$F$68,$F4,BB$15:BB$68)</f>
        <v>8780</v>
      </c>
      <c r="BC4" s="1">
        <f t="shared" ca="1" si="9"/>
        <v>3328</v>
      </c>
      <c r="BD4" s="1">
        <f t="shared" ca="1" si="9"/>
        <v>0</v>
      </c>
      <c r="BE4" s="1">
        <f t="shared" ca="1" si="9"/>
        <v>5452</v>
      </c>
      <c r="BF4" s="1">
        <f t="shared" ca="1" si="9"/>
        <v>631</v>
      </c>
      <c r="BG4" s="1">
        <f t="shared" ca="1" si="9"/>
        <v>436</v>
      </c>
      <c r="BH4" s="1">
        <f t="shared" ca="1" si="9"/>
        <v>195</v>
      </c>
      <c r="BJ4" s="1">
        <f t="shared" ref="BJ4:BM13" ca="1" si="10">SUMIF($F$15:$F$68,$F4,BJ$15:BJ$68)</f>
        <v>118</v>
      </c>
      <c r="BK4" s="1">
        <f t="shared" ca="1" si="10"/>
        <v>6</v>
      </c>
      <c r="BL4" s="1">
        <f t="shared" ca="1" si="10"/>
        <v>3</v>
      </c>
      <c r="BM4" s="1">
        <f t="shared" ca="1" si="10"/>
        <v>7</v>
      </c>
      <c r="BO4" s="1">
        <f t="shared" ref="BO4:BU13" ca="1" si="11">SUMIF($F$15:$F$68,$F4,BO$15:BO$68)</f>
        <v>835</v>
      </c>
      <c r="BP4" s="1">
        <f t="shared" ca="1" si="11"/>
        <v>517</v>
      </c>
      <c r="BQ4" s="1">
        <f t="shared" ca="1" si="11"/>
        <v>0</v>
      </c>
      <c r="BR4" s="1">
        <f t="shared" ca="1" si="11"/>
        <v>318</v>
      </c>
      <c r="BS4" s="1">
        <f t="shared" ca="1" si="11"/>
        <v>142</v>
      </c>
      <c r="BT4" s="1">
        <f t="shared" ca="1" si="11"/>
        <v>95</v>
      </c>
      <c r="BU4" s="1">
        <f t="shared" ca="1" si="11"/>
        <v>47</v>
      </c>
      <c r="CG4" s="1">
        <v>40</v>
      </c>
      <c r="CI4" s="1">
        <f>LEFT('Input data (2)'!C3,4)-10</f>
        <v>2003</v>
      </c>
      <c r="CJ4" s="1" t="str">
        <f>"Q"&amp;'Input data (2)'!C2</f>
        <v>Q2</v>
      </c>
      <c r="CK4" s="1" t="str">
        <f t="shared" ref="CK4:CK44" si="12">RIGHT(CI4,2)</f>
        <v>03</v>
      </c>
      <c r="CL4" s="1" t="str">
        <f t="shared" ref="CL4:CL44" si="13">CONCATENATE(CJ4," ",CK4)</f>
        <v>Q2 03</v>
      </c>
      <c r="CM4" s="1">
        <f ca="1">OFFSET('Input data (2)'!AJ$126,'Input data (2)'!$BL$1-'Output data - DO NOT TOUCH (2)'!$CG4,0)/1000</f>
        <v>6.7480000000000002</v>
      </c>
      <c r="CN4" s="1">
        <f ca="1">OFFSET('Input data (2)'!AK$126,'Input data (2)'!$BL$1-'Output data - DO NOT TOUCH (2)'!$CG4,0)/1000</f>
        <v>1.8959999999999999</v>
      </c>
      <c r="CO4" s="1">
        <f ca="1">OFFSET('Input data (2)'!AL$126,'Input data (2)'!$BL$1-'Output data - DO NOT TOUCH (2)'!$CG4,0)/1000</f>
        <v>8.6440000000000001</v>
      </c>
      <c r="CP4" s="1"/>
      <c r="CQ4" s="1">
        <f ca="1">OFFSET('Input data (2)'!AG$126,'Input data (2)'!$BL$1-'Output data - DO NOT TOUCH (2)'!$CG4,0)/1000</f>
        <v>1.44</v>
      </c>
      <c r="CR4" s="1">
        <f ca="1">OFFSET('Input data (2)'!AH$126,'Input data (2)'!$BL$1-'Output data - DO NOT TOUCH (2)'!$CG4,0)/1000</f>
        <v>2.258</v>
      </c>
      <c r="CS4" s="1">
        <f ca="1">OFFSET('Input data (2)'!AI$126,'Input data (2)'!$BL$1-'Output data - DO NOT TOUCH (2)'!$CG4,0)/1000</f>
        <v>3.698</v>
      </c>
      <c r="CT4" s="1"/>
      <c r="CU4" s="1">
        <f ca="1">OFFSET('Input data (2)'!L$126,'Input data (2)'!$BL$1-'Output data - DO NOT TOUCH (2)'!$CG4,0)</f>
        <v>298</v>
      </c>
      <c r="CV4" s="1">
        <f ca="1">OFFSET('Input data (2)'!M$126,'Input data (2)'!$BL$1-'Output data - DO NOT TOUCH (2)'!$CG4,0)</f>
        <v>167</v>
      </c>
      <c r="CW4" s="67">
        <v>0</v>
      </c>
      <c r="CX4" s="1">
        <f ca="1">OFFSET('Input data (2)'!P$126,'Input data (2)'!$BL$1-'Output data - DO NOT TOUCH (2)'!$CG4,0)</f>
        <v>165</v>
      </c>
      <c r="CY4" s="1"/>
      <c r="CZ4" s="1">
        <f ca="1">OFFSET('Input data (2)'!AY$126,'Input data (2)'!$BL$1-'Output data - DO NOT TOUCH (2)'!$CG4,0)/1000</f>
        <v>0.85799999999999998</v>
      </c>
      <c r="DA4" s="1">
        <f ca="1">OFFSET('Input data (2)'!BA$126,'Input data (2)'!$BL$1-'Output data - DO NOT TOUCH (2)'!$CG4,0)/1000</f>
        <v>1.331</v>
      </c>
      <c r="DB4" s="1">
        <f ca="1">OFFSET('Input data (2)'!BB$126,'Input data (2)'!$BL$1-'Output data - DO NOT TOUCH (2)'!$CG4,0)/1000</f>
        <v>2.1890000000000001</v>
      </c>
      <c r="DD4" s="1">
        <f ca="1">OFFSET('Input data (2)'!AN$126,'Input data (2)'!$BL$1-'Output data - DO NOT TOUCH (2)'!$CG4,0)</f>
        <v>118</v>
      </c>
      <c r="DE4" s="1">
        <f ca="1">OFFSET('Input data (2)'!AO$126,'Input data (2)'!$BL$1-'Output data - DO NOT TOUCH (2)'!$CG4,0)</f>
        <v>50</v>
      </c>
      <c r="DF4" s="1">
        <f ca="1">OFFSET('Input data (2)'!AP$126,'Input data (2)'!$BL$1-'Output data - DO NOT TOUCH (2)'!$CG4,0)</f>
        <v>168</v>
      </c>
      <c r="DG4" s="1"/>
      <c r="DH4" s="1">
        <f ca="1">OFFSET('Input data (2)'!AU$126,'Input data (2)'!$BL$1-'Output data - DO NOT TOUCH (2)'!$CG4,0)</f>
        <v>21</v>
      </c>
      <c r="DI4" s="1">
        <f ca="1">OFFSET('Input data (2)'!AV$126,'Input data (2)'!$BL$1-'Output data - DO NOT TOUCH (2)'!$CG4,0)</f>
        <v>1</v>
      </c>
      <c r="DJ4" s="1" t="str">
        <f ca="1">OFFSET('Input data (2)'!AW$126,'Input data (2)'!$BL$1-'Output data - DO NOT TOUCH (2)'!$CG4,0)</f>
        <v>:</v>
      </c>
      <c r="DK4" s="1">
        <f ca="1">OFFSET('Input data (2)'!AX$126,'Input data (2)'!$BL$1-'Output data - DO NOT TOUCH (2)'!$CG4,0)</f>
        <v>3</v>
      </c>
      <c r="DM4" s="1">
        <f ca="1">OFFSET('Input data (2)'!BI$126,'Input data (2)'!$BL$1-'Output data - DO NOT TOUCH (2)'!$CG4,0)</f>
        <v>141</v>
      </c>
      <c r="DN4" s="1">
        <f ca="1">OFFSET('Input data (2)'!BJ$126,'Input data (2)'!$BL$1-'Output data - DO NOT TOUCH (2)'!$CG4,0)</f>
        <v>78</v>
      </c>
      <c r="DO4" s="1">
        <f ca="1">OFFSET('Input data (2)'!BL$126,'Input data (2)'!$BL$1-'Output data - DO NOT TOUCH (2)'!$CG4,0)</f>
        <v>219</v>
      </c>
      <c r="DQ4" s="1">
        <f ca="1">OFFSET('Input data (2)'!BD$126,'Input data (2)'!$BL$1-'Output data - DO NOT TOUCH (2)'!$CG4,0)</f>
        <v>25</v>
      </c>
      <c r="DR4" s="1">
        <f ca="1">OFFSET('Input data (2)'!BE$126,'Input data (2)'!$BL$1-'Output data - DO NOT TOUCH (2)'!$CG4,0)</f>
        <v>17</v>
      </c>
      <c r="DS4" s="1">
        <f ca="1">OFFSET('Input data (2)'!BF$126,'Input data (2)'!$BL$1-'Output data - DO NOT TOUCH (2)'!$CG4,0)</f>
        <v>42</v>
      </c>
      <c r="DU4" s="1">
        <f ca="1">OFFSET('Input data (2)'!B$126,'Input data (2)'!$BL$1-'Output data - DO NOT TOUCH (2)'!$CG4-1,0)</f>
        <v>2003</v>
      </c>
      <c r="DV4" s="1" t="str">
        <f ca="1">OFFSET('Input data (2)'!C$126,'Input data (2)'!$BL$1-'Output data - DO NOT TOUCH (2)'!$CG4-1,0)</f>
        <v>Q1</v>
      </c>
      <c r="DW4" s="1" t="str">
        <f t="shared" ref="DW4:DW44" ca="1" si="14">RIGHT(DU4,2)</f>
        <v>03</v>
      </c>
      <c r="DX4" s="1" t="str">
        <f t="shared" ref="DX4:DX44" ca="1" si="15">CONCATENATE(DV4," ",DW4)</f>
        <v>Q1 03</v>
      </c>
      <c r="DY4" s="1">
        <f ca="1">OFFSET('Input data (2)'!W$126,'Input data (2)'!$BL$1-'Output data - DO NOT TOUCH (2)'!$CG4-1,0)/1000</f>
        <v>2.468</v>
      </c>
      <c r="DZ4" s="1">
        <f ca="1">OFFSET('Input data (2)'!Y$126,'Input data (2)'!$BL$1-'Output data - DO NOT TOUCH (2)'!$CG4-1,0)/1000</f>
        <v>4.444</v>
      </c>
      <c r="EA4" s="1">
        <f ca="1">OFFSET('Input data (2)'!Q$126,'Input data (2)'!$BL$1-'Output data - DO NOT TOUCH (2)'!$CG4-1,0)/1000</f>
        <v>6.9119999999999999</v>
      </c>
      <c r="EC4" s="3" t="str">
        <f t="shared" ref="EC4:EC12" si="16">CL36</f>
        <v>Q2 11</v>
      </c>
      <c r="ED4" s="68" t="e">
        <f t="shared" ref="ED4:ED12" ca="1" si="17">(CM36/CM35-1)*(CM35/$CO35)*100</f>
        <v>#VALUE!</v>
      </c>
      <c r="EE4" s="68" t="e">
        <f t="shared" ref="EE4:EE12" ca="1" si="18">(CN36/CN35-1)*(CN35/$CO35)*100</f>
        <v>#VALUE!</v>
      </c>
      <c r="EF4" s="68" t="e">
        <f t="shared" ref="EF4:EF12" ca="1" si="19">SUM(ED4:EE4)</f>
        <v>#VALUE!</v>
      </c>
      <c r="EH4" s="68">
        <f t="shared" ref="EH4:EH12" ca="1" si="20">(CQ36/CQ35-1)*(CQ35/$CS35)*100</f>
        <v>5.6218057921635403</v>
      </c>
      <c r="EI4" s="68">
        <f t="shared" ref="EI4:EI12" ca="1" si="21">(CR36/CR35-1)*(CR35/$CS35)*100</f>
        <v>-2.6770503772207443</v>
      </c>
      <c r="EJ4" s="68">
        <f t="shared" ref="EJ4:EJ12" ca="1" si="22">EH4+EI4</f>
        <v>2.9447554149427959</v>
      </c>
    </row>
    <row r="5" spans="1:140" x14ac:dyDescent="0.15">
      <c r="A5" s="1">
        <v>39</v>
      </c>
      <c r="B5" s="1">
        <v>40</v>
      </c>
      <c r="C5" s="1">
        <v>41</v>
      </c>
      <c r="D5" s="1">
        <v>38</v>
      </c>
      <c r="F5" s="1">
        <f t="shared" ref="F5:F13" si="23">F4+1</f>
        <v>2004</v>
      </c>
      <c r="H5" s="1">
        <f t="shared" si="0"/>
        <v>12192</v>
      </c>
      <c r="I5" s="1">
        <f t="shared" si="0"/>
        <v>4584</v>
      </c>
      <c r="J5" s="1">
        <f t="shared" si="0"/>
        <v>7608</v>
      </c>
      <c r="O5" s="119">
        <f t="shared" ca="1" si="1"/>
        <v>165</v>
      </c>
      <c r="Q5" s="1">
        <f t="shared" ca="1" si="2"/>
        <v>46652</v>
      </c>
      <c r="R5" s="1">
        <f t="shared" ca="1" si="2"/>
        <v>35898</v>
      </c>
      <c r="S5" s="1">
        <f t="shared" ca="1" si="2"/>
        <v>0</v>
      </c>
      <c r="T5" s="1">
        <f t="shared" ca="1" si="2"/>
        <v>10753</v>
      </c>
      <c r="Y5" s="1">
        <f t="shared" ca="1" si="3"/>
        <v>35898</v>
      </c>
      <c r="Z5" s="1">
        <f t="shared" ca="1" si="3"/>
        <v>27872</v>
      </c>
      <c r="AB5" s="1">
        <f t="shared" ca="1" si="4"/>
        <v>8026</v>
      </c>
      <c r="AD5" s="1">
        <f t="shared" ca="1" si="5"/>
        <v>35898</v>
      </c>
      <c r="AE5" s="1">
        <f t="shared" ca="1" si="5"/>
        <v>9564</v>
      </c>
      <c r="AG5" s="1">
        <f t="shared" ca="1" si="6"/>
        <v>26334</v>
      </c>
      <c r="AJ5" s="124">
        <f t="shared" ca="1" si="7"/>
        <v>6238</v>
      </c>
      <c r="AK5" s="124">
        <f t="shared" ca="1" si="7"/>
        <v>1238</v>
      </c>
      <c r="AL5" s="124">
        <f t="shared" ca="1" si="7"/>
        <v>5000</v>
      </c>
      <c r="AW5" s="1">
        <f t="shared" ca="1" si="8"/>
        <v>864</v>
      </c>
      <c r="AX5" s="1">
        <f t="shared" ca="1" si="8"/>
        <v>1</v>
      </c>
      <c r="AY5" s="1">
        <f t="shared" ca="1" si="8"/>
        <v>1601</v>
      </c>
      <c r="AZ5" s="1">
        <f t="shared" ca="1" si="8"/>
        <v>597</v>
      </c>
      <c r="BB5" s="1">
        <f t="shared" ca="1" si="9"/>
        <v>9321</v>
      </c>
      <c r="BC5" s="1">
        <f t="shared" ca="1" si="9"/>
        <v>3297</v>
      </c>
      <c r="BD5" s="1">
        <f t="shared" ca="1" si="9"/>
        <v>0</v>
      </c>
      <c r="BE5" s="1">
        <f t="shared" ca="1" si="9"/>
        <v>6024</v>
      </c>
      <c r="BF5" s="1">
        <f t="shared" ca="1" si="9"/>
        <v>621</v>
      </c>
      <c r="BG5" s="1">
        <f t="shared" ca="1" si="9"/>
        <v>431</v>
      </c>
      <c r="BH5" s="1">
        <f t="shared" ca="1" si="9"/>
        <v>190</v>
      </c>
      <c r="BJ5" s="1">
        <f t="shared" ca="1" si="10"/>
        <v>82</v>
      </c>
      <c r="BK5" s="1">
        <f t="shared" ca="1" si="10"/>
        <v>0</v>
      </c>
      <c r="BL5" s="1">
        <f t="shared" ca="1" si="10"/>
        <v>31</v>
      </c>
      <c r="BM5" s="1">
        <f t="shared" ca="1" si="10"/>
        <v>6</v>
      </c>
      <c r="BO5" s="1">
        <f t="shared" ca="1" si="11"/>
        <v>1115</v>
      </c>
      <c r="BP5" s="1">
        <f t="shared" ca="1" si="11"/>
        <v>666</v>
      </c>
      <c r="BQ5" s="1">
        <f t="shared" ca="1" si="11"/>
        <v>0</v>
      </c>
      <c r="BR5" s="1">
        <f t="shared" ca="1" si="11"/>
        <v>449</v>
      </c>
      <c r="BS5" s="1">
        <f t="shared" ca="1" si="11"/>
        <v>121</v>
      </c>
      <c r="BT5" s="1">
        <f t="shared" ca="1" si="11"/>
        <v>76</v>
      </c>
      <c r="BU5" s="1">
        <f t="shared" ca="1" si="11"/>
        <v>45</v>
      </c>
      <c r="CG5" s="1">
        <v>39</v>
      </c>
      <c r="CI5" s="1">
        <f ca="1">OFFSET('Input data (2)'!B$126,'Input data (2)'!$BL$1-'Output data - DO NOT TOUCH (2)'!$CG5,0)</f>
        <v>2003</v>
      </c>
      <c r="CJ5" s="1" t="str">
        <f>"Q"&amp;IF(RIGHT(CJ4)*1&lt;&gt;4,RIGHT(CJ4)+1,1)</f>
        <v>Q3</v>
      </c>
      <c r="CK5" s="1" t="str">
        <f t="shared" ca="1" si="12"/>
        <v>03</v>
      </c>
      <c r="CL5" s="1" t="str">
        <f t="shared" ca="1" si="13"/>
        <v>Q3 03</v>
      </c>
      <c r="CM5" s="1">
        <f ca="1">OFFSET('Input data (2)'!AJ$126,'Input data (2)'!$BL$1-'Output data - DO NOT TOUCH (2)'!$CG5,0)/1000</f>
        <v>7.2450000000000001</v>
      </c>
      <c r="CN5" s="1">
        <f ca="1">OFFSET('Input data (2)'!AK$126,'Input data (2)'!$BL$1-'Output data - DO NOT TOUCH (2)'!$CG5,0)/1000</f>
        <v>1.9570000000000001</v>
      </c>
      <c r="CO5" s="1">
        <f ca="1">OFFSET('Input data (2)'!AL$126,'Input data (2)'!$BL$1-'Output data - DO NOT TOUCH (2)'!$CG5,0)/1000</f>
        <v>9.202</v>
      </c>
      <c r="CP5" s="1"/>
      <c r="CQ5" s="1">
        <f ca="1">OFFSET('Input data (2)'!AG$126,'Input data (2)'!$BL$1-'Output data - DO NOT TOUCH (2)'!$CG5,0)/1000</f>
        <v>1.137</v>
      </c>
      <c r="CR5" s="1">
        <f ca="1">OFFSET('Input data (2)'!AH$126,'Input data (2)'!$BL$1-'Output data - DO NOT TOUCH (2)'!$CG5,0)/1000</f>
        <v>2.282</v>
      </c>
      <c r="CS5" s="1">
        <f ca="1">OFFSET('Input data (2)'!AI$126,'Input data (2)'!$BL$1-'Output data - DO NOT TOUCH (2)'!$CG5,0)/1000</f>
        <v>3.419</v>
      </c>
      <c r="CT5" s="1"/>
      <c r="CU5" s="1">
        <f ca="1">OFFSET('Input data (2)'!L$126,'Input data (2)'!$BL$1-'Output data - DO NOT TOUCH (2)'!$CG5,0)</f>
        <v>334</v>
      </c>
      <c r="CV5" s="1">
        <f ca="1">OFFSET('Input data (2)'!M$126,'Input data (2)'!$BL$1-'Output data - DO NOT TOUCH (2)'!$CG5,0)</f>
        <v>154</v>
      </c>
      <c r="CW5" s="67">
        <f ca="1">OFFSET('Input data (2)'!N$126,'Input data (2)'!$BL$1-'Output data - DO NOT TOUCH (2)'!$CG5,0)</f>
        <v>14</v>
      </c>
      <c r="CX5" s="1">
        <f ca="1">OFFSET('Input data (2)'!P$126,'Input data (2)'!$BL$1-'Output data - DO NOT TOUCH (2)'!$CG5,0)</f>
        <v>171</v>
      </c>
      <c r="CY5" s="1"/>
      <c r="CZ5" s="1">
        <f ca="1">OFFSET('Input data (2)'!AY$126,'Input data (2)'!$BL$1-'Output data - DO NOT TOUCH (2)'!$CG5,0)/1000</f>
        <v>0.84499999999999997</v>
      </c>
      <c r="DA5" s="1">
        <f ca="1">OFFSET('Input data (2)'!BA$126,'Input data (2)'!$BL$1-'Output data - DO NOT TOUCH (2)'!$CG5,0)/1000</f>
        <v>1.522</v>
      </c>
      <c r="DB5" s="1">
        <f ca="1">OFFSET('Input data (2)'!BB$126,'Input data (2)'!$BL$1-'Output data - DO NOT TOUCH (2)'!$CG5,0)/1000</f>
        <v>2.367</v>
      </c>
      <c r="DD5" s="1">
        <f ca="1">OFFSET('Input data (2)'!AN$126,'Input data (2)'!$BL$1-'Output data - DO NOT TOUCH (2)'!$CG5,0)</f>
        <v>109</v>
      </c>
      <c r="DE5" s="1">
        <f ca="1">OFFSET('Input data (2)'!AO$126,'Input data (2)'!$BL$1-'Output data - DO NOT TOUCH (2)'!$CG5,0)</f>
        <v>45</v>
      </c>
      <c r="DF5" s="1">
        <f ca="1">OFFSET('Input data (2)'!AP$126,'Input data (2)'!$BL$1-'Output data - DO NOT TOUCH (2)'!$CG5,0)</f>
        <v>154</v>
      </c>
      <c r="DG5" s="1"/>
      <c r="DH5" s="1">
        <f ca="1">OFFSET('Input data (2)'!AU$126,'Input data (2)'!$BL$1-'Output data - DO NOT TOUCH (2)'!$CG5,0)</f>
        <v>36</v>
      </c>
      <c r="DI5" s="1">
        <f ca="1">OFFSET('Input data (2)'!AV$126,'Input data (2)'!$BL$1-'Output data - DO NOT TOUCH (2)'!$CG5,0)</f>
        <v>1</v>
      </c>
      <c r="DJ5" s="1">
        <f ca="1">OFFSET('Input data (2)'!AW$126,'Input data (2)'!$BL$1-'Output data - DO NOT TOUCH (2)'!$CG5,0)</f>
        <v>1</v>
      </c>
      <c r="DK5" s="1">
        <f ca="1">OFFSET('Input data (2)'!AX$126,'Input data (2)'!$BL$1-'Output data - DO NOT TOUCH (2)'!$CG5,0)</f>
        <v>1</v>
      </c>
      <c r="DM5" s="1">
        <f ca="1">OFFSET('Input data (2)'!BI$126,'Input data (2)'!$BL$1-'Output data - DO NOT TOUCH (2)'!$CG5,0)</f>
        <v>109</v>
      </c>
      <c r="DN5" s="1">
        <f ca="1">OFFSET('Input data (2)'!BJ$126,'Input data (2)'!$BL$1-'Output data - DO NOT TOUCH (2)'!$CG5,0)</f>
        <v>96</v>
      </c>
      <c r="DO5" s="1">
        <f ca="1">OFFSET('Input data (2)'!BL$126,'Input data (2)'!$BL$1-'Output data - DO NOT TOUCH (2)'!$CG5,0)</f>
        <v>205</v>
      </c>
      <c r="DQ5" s="1">
        <f ca="1">OFFSET('Input data (2)'!BD$126,'Input data (2)'!$BL$1-'Output data - DO NOT TOUCH (2)'!$CG5,0)</f>
        <v>19</v>
      </c>
      <c r="DR5" s="1">
        <f ca="1">OFFSET('Input data (2)'!BE$126,'Input data (2)'!$BL$1-'Output data - DO NOT TOUCH (2)'!$CG5,0)</f>
        <v>10</v>
      </c>
      <c r="DS5" s="1">
        <f ca="1">OFFSET('Input data (2)'!BF$126,'Input data (2)'!$BL$1-'Output data - DO NOT TOUCH (2)'!$CG5,0)</f>
        <v>29</v>
      </c>
      <c r="DU5" s="1">
        <f ca="1">OFFSET('Input data (2)'!B$126,'Input data (2)'!$BL$1-'Output data - DO NOT TOUCH (2)'!$CG5-1,0)</f>
        <v>2003</v>
      </c>
      <c r="DV5" s="1" t="str">
        <f ca="1">OFFSET('Input data (2)'!C$126,'Input data (2)'!$BL$1-'Output data - DO NOT TOUCH (2)'!$CG5-1,0)</f>
        <v>Q2</v>
      </c>
      <c r="DW5" s="1" t="str">
        <f t="shared" ca="1" si="14"/>
        <v>03</v>
      </c>
      <c r="DX5" s="1" t="str">
        <f t="shared" ca="1" si="15"/>
        <v>Q2 03</v>
      </c>
      <c r="DY5" s="1">
        <f ca="1">OFFSET('Input data (2)'!W$126,'Input data (2)'!$BL$1-'Output data - DO NOT TOUCH (2)'!$CG5-1,0)/1000</f>
        <v>2.2669999999999999</v>
      </c>
      <c r="DZ5" s="1">
        <f ca="1">OFFSET('Input data (2)'!Y$126,'Input data (2)'!$BL$1-'Output data - DO NOT TOUCH (2)'!$CG5-1,0)/1000</f>
        <v>4.681</v>
      </c>
      <c r="EA5" s="1">
        <f ca="1">OFFSET('Input data (2)'!Q$126,'Input data (2)'!$BL$1-'Output data - DO NOT TOUCH (2)'!$CG5-1,0)/1000</f>
        <v>6.9480000000000004</v>
      </c>
      <c r="EC5" s="3" t="str">
        <f t="shared" ca="1" si="16"/>
        <v>Q3 11</v>
      </c>
      <c r="ED5" s="68" t="e">
        <f t="shared" ca="1" si="17"/>
        <v>#VALUE!</v>
      </c>
      <c r="EE5" s="68" t="e">
        <f t="shared" ca="1" si="18"/>
        <v>#VALUE!</v>
      </c>
      <c r="EF5" s="68" t="e">
        <f t="shared" ca="1" si="19"/>
        <v>#VALUE!</v>
      </c>
      <c r="EH5" s="68">
        <f t="shared" ca="1" si="20"/>
        <v>-2.8368794326241105</v>
      </c>
      <c r="EI5" s="68">
        <f t="shared" ca="1" si="21"/>
        <v>3.4042553191489389</v>
      </c>
      <c r="EJ5" s="68">
        <f t="shared" ca="1" si="22"/>
        <v>0.5673758865248284</v>
      </c>
    </row>
    <row r="6" spans="1:140" x14ac:dyDescent="0.15">
      <c r="A6" s="1">
        <v>38</v>
      </c>
      <c r="B6" s="1">
        <v>39</v>
      </c>
      <c r="C6" s="1">
        <v>40</v>
      </c>
      <c r="D6" s="1">
        <v>37</v>
      </c>
      <c r="F6" s="1">
        <f t="shared" si="23"/>
        <v>2005</v>
      </c>
      <c r="H6" s="1">
        <f t="shared" si="0"/>
        <v>12893</v>
      </c>
      <c r="I6" s="1">
        <f t="shared" si="0"/>
        <v>5233</v>
      </c>
      <c r="J6" s="1">
        <f t="shared" si="0"/>
        <v>7660</v>
      </c>
      <c r="O6" s="119">
        <f t="shared" ca="1" si="1"/>
        <v>681</v>
      </c>
      <c r="Q6" s="1">
        <f t="shared" ca="1" si="2"/>
        <v>67584</v>
      </c>
      <c r="R6" s="1">
        <f t="shared" ca="1" si="2"/>
        <v>47291</v>
      </c>
      <c r="S6" s="1">
        <f t="shared" ca="1" si="2"/>
        <v>0</v>
      </c>
      <c r="T6" s="1">
        <f t="shared" ca="1" si="2"/>
        <v>20293</v>
      </c>
      <c r="Y6" s="1">
        <f t="shared" ca="1" si="3"/>
        <v>47291</v>
      </c>
      <c r="Z6" s="1">
        <f t="shared" ca="1" si="3"/>
        <v>38131</v>
      </c>
      <c r="AB6" s="1">
        <f t="shared" ca="1" si="4"/>
        <v>9160</v>
      </c>
      <c r="AD6" s="1">
        <f t="shared" ca="1" si="5"/>
        <v>47291</v>
      </c>
      <c r="AE6" s="1">
        <f t="shared" ca="1" si="5"/>
        <v>10839</v>
      </c>
      <c r="AG6" s="1">
        <f t="shared" ca="1" si="6"/>
        <v>36452</v>
      </c>
      <c r="AJ6" s="124">
        <f t="shared" ca="1" si="7"/>
        <v>9102</v>
      </c>
      <c r="AK6" s="124">
        <f t="shared" ca="1" si="7"/>
        <v>69</v>
      </c>
      <c r="AL6" s="124">
        <f t="shared" ca="1" si="7"/>
        <v>9033</v>
      </c>
      <c r="AW6" s="1">
        <f t="shared" ca="1" si="8"/>
        <v>590</v>
      </c>
      <c r="AX6" s="1">
        <f t="shared" ca="1" si="8"/>
        <v>4</v>
      </c>
      <c r="AY6" s="1">
        <f t="shared" ca="1" si="8"/>
        <v>2257</v>
      </c>
      <c r="AZ6" s="1">
        <f t="shared" ca="1" si="8"/>
        <v>604</v>
      </c>
      <c r="BB6" s="1">
        <f t="shared" ca="1" si="9"/>
        <v>11897</v>
      </c>
      <c r="BC6" s="1">
        <f t="shared" ca="1" si="9"/>
        <v>5033</v>
      </c>
      <c r="BD6" s="1">
        <f t="shared" ca="1" si="9"/>
        <v>0</v>
      </c>
      <c r="BE6" s="1">
        <f t="shared" ca="1" si="9"/>
        <v>6864</v>
      </c>
      <c r="BF6" s="1">
        <f t="shared" ca="1" si="9"/>
        <v>569</v>
      </c>
      <c r="BG6" s="1">
        <f t="shared" ca="1" si="9"/>
        <v>420</v>
      </c>
      <c r="BH6" s="1">
        <f t="shared" ca="1" si="9"/>
        <v>149</v>
      </c>
      <c r="BJ6" s="1">
        <f t="shared" ca="1" si="10"/>
        <v>56</v>
      </c>
      <c r="BK6" s="1">
        <f t="shared" ca="1" si="10"/>
        <v>0</v>
      </c>
      <c r="BL6" s="1">
        <f t="shared" ca="1" si="10"/>
        <v>55</v>
      </c>
      <c r="BM6" s="1">
        <f t="shared" ca="1" si="10"/>
        <v>8</v>
      </c>
      <c r="BO6" s="1">
        <f t="shared" ca="1" si="11"/>
        <v>1454</v>
      </c>
      <c r="BP6" s="1">
        <f t="shared" ca="1" si="11"/>
        <v>821</v>
      </c>
      <c r="BQ6" s="1">
        <f t="shared" ca="1" si="11"/>
        <v>0</v>
      </c>
      <c r="BR6" s="1">
        <f t="shared" ca="1" si="11"/>
        <v>633</v>
      </c>
      <c r="BS6" s="1">
        <f t="shared" ca="1" si="11"/>
        <v>138</v>
      </c>
      <c r="BT6" s="1">
        <f t="shared" ca="1" si="11"/>
        <v>85</v>
      </c>
      <c r="BU6" s="1">
        <f t="shared" ca="1" si="11"/>
        <v>53</v>
      </c>
      <c r="CG6" s="1">
        <v>38</v>
      </c>
      <c r="CI6" s="1">
        <f ca="1">OFFSET('Input data (2)'!B$126,'Input data (2)'!$BL$1-'Output data - DO NOT TOUCH (2)'!$CG6,0)</f>
        <v>2003</v>
      </c>
      <c r="CJ6" s="1" t="str">
        <f>"Q"&amp;IF(RIGHT(CJ5)*1&lt;&gt;4,RIGHT(CJ5)+1,1)</f>
        <v>Q4</v>
      </c>
      <c r="CK6" s="1" t="str">
        <f t="shared" ca="1" si="12"/>
        <v>03</v>
      </c>
      <c r="CL6" s="1" t="str">
        <f t="shared" ca="1" si="13"/>
        <v>Q4 03</v>
      </c>
      <c r="CM6" s="1">
        <f ca="1">OFFSET('Input data (2)'!AJ$126,'Input data (2)'!$BL$1-'Output data - DO NOT TOUCH (2)'!$CG6,0)/1000</f>
        <v>7.4960000000000004</v>
      </c>
      <c r="CN6" s="1">
        <f ca="1">OFFSET('Input data (2)'!AK$126,'Input data (2)'!$BL$1-'Output data - DO NOT TOUCH (2)'!$CG6,0)/1000</f>
        <v>2.0299999999999998</v>
      </c>
      <c r="CO6" s="1">
        <f ca="1">OFFSET('Input data (2)'!AL$126,'Input data (2)'!$BL$1-'Output data - DO NOT TOUCH (2)'!$CG6,0)/1000</f>
        <v>9.5259999999999998</v>
      </c>
      <c r="CP6" s="1"/>
      <c r="CQ6" s="1">
        <f ca="1">OFFSET('Input data (2)'!AG$126,'Input data (2)'!$BL$1-'Output data - DO NOT TOUCH (2)'!$CG6,0)/1000</f>
        <v>1.107</v>
      </c>
      <c r="CR6" s="1">
        <f ca="1">OFFSET('Input data (2)'!AH$126,'Input data (2)'!$BL$1-'Output data - DO NOT TOUCH (2)'!$CG6,0)/1000</f>
        <v>2.2360000000000002</v>
      </c>
      <c r="CS6" s="1">
        <f ca="1">OFFSET('Input data (2)'!AI$126,'Input data (2)'!$BL$1-'Output data - DO NOT TOUCH (2)'!$CG6,0)/1000</f>
        <v>3.343</v>
      </c>
      <c r="CT6" s="1"/>
      <c r="CU6" s="1">
        <f ca="1">OFFSET('Input data (2)'!L$126,'Input data (2)'!$BL$1-'Output data - DO NOT TOUCH (2)'!$CG6,0)</f>
        <v>314</v>
      </c>
      <c r="CV6" s="1">
        <f ca="1">OFFSET('Input data (2)'!M$126,'Input data (2)'!$BL$1-'Output data - DO NOT TOUCH (2)'!$CG6,0)</f>
        <v>16</v>
      </c>
      <c r="CW6" s="67">
        <f ca="1">OFFSET('Input data (2)'!N$126,'Input data (2)'!$BL$1-'Output data - DO NOT TOUCH (2)'!$CG6,0)</f>
        <v>233</v>
      </c>
      <c r="CX6" s="1">
        <f ca="1">OFFSET('Input data (2)'!P$126,'Input data (2)'!$BL$1-'Output data - DO NOT TOUCH (2)'!$CG6,0)</f>
        <v>212</v>
      </c>
      <c r="CY6" s="1"/>
      <c r="CZ6" s="1">
        <f ca="1">OFFSET('Input data (2)'!AY$126,'Input data (2)'!$BL$1-'Output data - DO NOT TOUCH (2)'!$CG6,0)/1000</f>
        <v>0.82599999999999996</v>
      </c>
      <c r="DA6" s="1">
        <f ca="1">OFFSET('Input data (2)'!BA$126,'Input data (2)'!$BL$1-'Output data - DO NOT TOUCH (2)'!$CG6,0)/1000</f>
        <v>1.383</v>
      </c>
      <c r="DB6" s="1">
        <f ca="1">OFFSET('Input data (2)'!BB$126,'Input data (2)'!$BL$1-'Output data - DO NOT TOUCH (2)'!$CG6,0)/1000</f>
        <v>2.2090000000000001</v>
      </c>
      <c r="DD6" s="1">
        <f ca="1">OFFSET('Input data (2)'!AN$126,'Input data (2)'!$BL$1-'Output data - DO NOT TOUCH (2)'!$CG6,0)</f>
        <v>76</v>
      </c>
      <c r="DE6" s="1">
        <f ca="1">OFFSET('Input data (2)'!AO$126,'Input data (2)'!$BL$1-'Output data - DO NOT TOUCH (2)'!$CG6,0)</f>
        <v>50</v>
      </c>
      <c r="DF6" s="1">
        <f ca="1">OFFSET('Input data (2)'!AP$126,'Input data (2)'!$BL$1-'Output data - DO NOT TOUCH (2)'!$CG6,0)</f>
        <v>126</v>
      </c>
      <c r="DG6" s="1"/>
      <c r="DH6" s="1">
        <f ca="1">OFFSET('Input data (2)'!AU$126,'Input data (2)'!$BL$1-'Output data - DO NOT TOUCH (2)'!$CG6,0)</f>
        <v>20</v>
      </c>
      <c r="DI6" s="1">
        <f ca="1">OFFSET('Input data (2)'!AV$126,'Input data (2)'!$BL$1-'Output data - DO NOT TOUCH (2)'!$CG6,0)</f>
        <v>0</v>
      </c>
      <c r="DJ6" s="1">
        <f ca="1">OFFSET('Input data (2)'!AW$126,'Input data (2)'!$BL$1-'Output data - DO NOT TOUCH (2)'!$CG6,0)</f>
        <v>2</v>
      </c>
      <c r="DK6" s="1">
        <f ca="1">OFFSET('Input data (2)'!AX$126,'Input data (2)'!$BL$1-'Output data - DO NOT TOUCH (2)'!$CG6,0)</f>
        <v>3</v>
      </c>
      <c r="DM6" s="1">
        <f ca="1">OFFSET('Input data (2)'!BI$126,'Input data (2)'!$BL$1-'Output data - DO NOT TOUCH (2)'!$CG6,0)</f>
        <v>177</v>
      </c>
      <c r="DN6" s="1">
        <f ca="1">OFFSET('Input data (2)'!BJ$126,'Input data (2)'!$BL$1-'Output data - DO NOT TOUCH (2)'!$CG6,0)</f>
        <v>88</v>
      </c>
      <c r="DO6" s="1">
        <f ca="1">OFFSET('Input data (2)'!BL$126,'Input data (2)'!$BL$1-'Output data - DO NOT TOUCH (2)'!$CG6,0)</f>
        <v>265</v>
      </c>
      <c r="DQ6" s="1">
        <f ca="1">OFFSET('Input data (2)'!BD$126,'Input data (2)'!$BL$1-'Output data - DO NOT TOUCH (2)'!$CG6,0)</f>
        <v>21</v>
      </c>
      <c r="DR6" s="1">
        <f ca="1">OFFSET('Input data (2)'!BE$126,'Input data (2)'!$BL$1-'Output data - DO NOT TOUCH (2)'!$CG6,0)</f>
        <v>13</v>
      </c>
      <c r="DS6" s="1">
        <f ca="1">OFFSET('Input data (2)'!BF$126,'Input data (2)'!$BL$1-'Output data - DO NOT TOUCH (2)'!$CG6,0)</f>
        <v>34</v>
      </c>
      <c r="DU6" s="1">
        <f ca="1">OFFSET('Input data (2)'!B$126,'Input data (2)'!$BL$1-'Output data - DO NOT TOUCH (2)'!$CG6-1,0)</f>
        <v>2003</v>
      </c>
      <c r="DV6" s="1" t="str">
        <f ca="1">OFFSET('Input data (2)'!C$126,'Input data (2)'!$BL$1-'Output data - DO NOT TOUCH (2)'!$CG6-1,0)</f>
        <v>Q3</v>
      </c>
      <c r="DW6" s="1" t="str">
        <f t="shared" ca="1" si="14"/>
        <v>03</v>
      </c>
      <c r="DX6" s="1" t="str">
        <f t="shared" ca="1" si="15"/>
        <v>Q3 03</v>
      </c>
      <c r="DY6" s="1">
        <f ca="1">OFFSET('Input data (2)'!W$126,'Input data (2)'!$BL$1-'Output data - DO NOT TOUCH (2)'!$CG6-1,0)/1000</f>
        <v>2.2959999999999998</v>
      </c>
      <c r="DZ6" s="1">
        <f ca="1">OFFSET('Input data (2)'!Y$126,'Input data (2)'!$BL$1-'Output data - DO NOT TOUCH (2)'!$CG6-1,0)/1000</f>
        <v>4.9249999999999998</v>
      </c>
      <c r="EA6" s="1">
        <f ca="1">OFFSET('Input data (2)'!Q$126,'Input data (2)'!$BL$1-'Output data - DO NOT TOUCH (2)'!$CG6-1,0)/1000</f>
        <v>7.2210000000000001</v>
      </c>
      <c r="EC6" s="3" t="str">
        <f t="shared" ca="1" si="16"/>
        <v>Q4 11</v>
      </c>
      <c r="ED6" s="68" t="e">
        <f t="shared" ca="1" si="17"/>
        <v>#VALUE!</v>
      </c>
      <c r="EE6" s="68" t="e">
        <f t="shared" ca="1" si="18"/>
        <v>#VALUE!</v>
      </c>
      <c r="EF6" s="68" t="e">
        <f t="shared" ca="1" si="19"/>
        <v>#VALUE!</v>
      </c>
      <c r="EH6" s="68">
        <f t="shared" ca="1" si="20"/>
        <v>4.8425011753643608</v>
      </c>
      <c r="EI6" s="68">
        <f t="shared" ca="1" si="21"/>
        <v>-3.9022096850023495</v>
      </c>
      <c r="EJ6" s="68">
        <f t="shared" ca="1" si="22"/>
        <v>0.94029149036201121</v>
      </c>
    </row>
    <row r="7" spans="1:140" x14ac:dyDescent="0.15">
      <c r="A7" s="1">
        <v>37</v>
      </c>
      <c r="B7" s="1">
        <v>38</v>
      </c>
      <c r="C7" s="1">
        <v>39</v>
      </c>
      <c r="D7" s="1">
        <v>36</v>
      </c>
      <c r="F7" s="1">
        <f t="shared" si="23"/>
        <v>2006</v>
      </c>
      <c r="H7" s="1">
        <f t="shared" si="0"/>
        <v>13137</v>
      </c>
      <c r="I7" s="1">
        <f t="shared" si="0"/>
        <v>5418</v>
      </c>
      <c r="J7" s="1">
        <f t="shared" si="0"/>
        <v>7719</v>
      </c>
      <c r="O7" s="119">
        <f t="shared" ca="1" si="1"/>
        <v>914</v>
      </c>
      <c r="Q7" s="1">
        <f t="shared" ca="1" si="2"/>
        <v>107288</v>
      </c>
      <c r="R7" s="1">
        <f t="shared" ca="1" si="2"/>
        <v>62956</v>
      </c>
      <c r="S7" s="1">
        <f t="shared" ca="1" si="2"/>
        <v>0</v>
      </c>
      <c r="T7" s="1">
        <f t="shared" ca="1" si="2"/>
        <v>44332</v>
      </c>
      <c r="Y7" s="1">
        <f t="shared" ca="1" si="3"/>
        <v>62956</v>
      </c>
      <c r="Z7" s="1">
        <f t="shared" ca="1" si="3"/>
        <v>53038</v>
      </c>
      <c r="AB7" s="1">
        <f t="shared" ca="1" si="4"/>
        <v>9918</v>
      </c>
      <c r="AD7" s="1">
        <f t="shared" ca="1" si="5"/>
        <v>62956</v>
      </c>
      <c r="AE7" s="1">
        <f t="shared" ca="1" si="5"/>
        <v>10894</v>
      </c>
      <c r="AG7" s="1">
        <f t="shared" ca="1" si="6"/>
        <v>52062</v>
      </c>
      <c r="AJ7" s="124">
        <f t="shared" ca="1" si="7"/>
        <v>11990</v>
      </c>
      <c r="AK7" s="124">
        <f t="shared" ca="1" si="7"/>
        <v>86</v>
      </c>
      <c r="AL7" s="124">
        <f t="shared" ca="1" si="7"/>
        <v>11904</v>
      </c>
      <c r="AW7" s="1">
        <f t="shared" ca="1" si="8"/>
        <v>588</v>
      </c>
      <c r="AX7" s="1">
        <f t="shared" ca="1" si="8"/>
        <v>0</v>
      </c>
      <c r="AY7" s="1">
        <f t="shared" ca="1" si="8"/>
        <v>3560</v>
      </c>
      <c r="AZ7" s="1">
        <f t="shared" ca="1" si="8"/>
        <v>534</v>
      </c>
      <c r="BB7" s="1">
        <f t="shared" ca="1" si="9"/>
        <v>13789</v>
      </c>
      <c r="BC7" s="1">
        <f t="shared" ca="1" si="9"/>
        <v>5566</v>
      </c>
      <c r="BD7" s="1">
        <f t="shared" ca="1" si="9"/>
        <v>0</v>
      </c>
      <c r="BE7" s="1">
        <f t="shared" ca="1" si="9"/>
        <v>8223</v>
      </c>
      <c r="BF7" s="1">
        <f t="shared" ca="1" si="9"/>
        <v>549</v>
      </c>
      <c r="BG7" s="1">
        <f t="shared" ca="1" si="9"/>
        <v>416</v>
      </c>
      <c r="BH7" s="1">
        <f t="shared" ca="1" si="9"/>
        <v>133</v>
      </c>
      <c r="BJ7" s="1">
        <f t="shared" ca="1" si="10"/>
        <v>34</v>
      </c>
      <c r="BK7" s="1">
        <f t="shared" ca="1" si="10"/>
        <v>0</v>
      </c>
      <c r="BL7" s="1">
        <f t="shared" ca="1" si="10"/>
        <v>86</v>
      </c>
      <c r="BM7" s="1">
        <f t="shared" ca="1" si="10"/>
        <v>5</v>
      </c>
      <c r="BO7" s="1">
        <f t="shared" ca="1" si="11"/>
        <v>1809</v>
      </c>
      <c r="BP7" s="1">
        <f t="shared" ca="1" si="11"/>
        <v>1035</v>
      </c>
      <c r="BQ7" s="1">
        <f t="shared" ca="1" si="11"/>
        <v>0</v>
      </c>
      <c r="BR7" s="1">
        <f t="shared" ca="1" si="11"/>
        <v>774</v>
      </c>
      <c r="BS7" s="1">
        <f t="shared" ca="1" si="11"/>
        <v>128</v>
      </c>
      <c r="BT7" s="1">
        <f t="shared" ca="1" si="11"/>
        <v>78</v>
      </c>
      <c r="BU7" s="1">
        <f t="shared" ca="1" si="11"/>
        <v>50</v>
      </c>
      <c r="CG7" s="1">
        <v>37</v>
      </c>
      <c r="CI7" s="1">
        <f ca="1">OFFSET('Input data (2)'!B$126,'Input data (2)'!$BL$1-'Output data - DO NOT TOUCH (2)'!$CG7,0)</f>
        <v>2004</v>
      </c>
      <c r="CJ7" s="1" t="str">
        <f>"Q"&amp;IF(RIGHT(CJ6)*1&lt;&gt;4,RIGHT(CJ6)+1,1)</f>
        <v>Q1</v>
      </c>
      <c r="CK7" s="1" t="str">
        <f t="shared" ca="1" si="12"/>
        <v>04</v>
      </c>
      <c r="CL7" s="1" t="str">
        <f t="shared" ca="1" si="13"/>
        <v>Q1 04</v>
      </c>
      <c r="CM7" s="1">
        <f ca="1">OFFSET('Input data (2)'!AJ$126,'Input data (2)'!$BL$1-'Output data - DO NOT TOUCH (2)'!$CG7,0)/1000</f>
        <v>8.0269999999999992</v>
      </c>
      <c r="CN7" s="1">
        <f ca="1">OFFSET('Input data (2)'!AK$126,'Input data (2)'!$BL$1-'Output data - DO NOT TOUCH (2)'!$CG7,0)/1000</f>
        <v>2.3860000000000001</v>
      </c>
      <c r="CO7" s="1">
        <f ca="1">OFFSET('Input data (2)'!AL$126,'Input data (2)'!$BL$1-'Output data - DO NOT TOUCH (2)'!$CG7,0)/1000</f>
        <v>10.413</v>
      </c>
      <c r="CP7" s="1"/>
      <c r="CQ7" s="1">
        <f ca="1">OFFSET('Input data (2)'!AG$126,'Input data (2)'!$BL$1-'Output data - DO NOT TOUCH (2)'!$CG7,0)/1000</f>
        <v>1.179</v>
      </c>
      <c r="CR7" s="1">
        <f ca="1">OFFSET('Input data (2)'!AH$126,'Input data (2)'!$BL$1-'Output data - DO NOT TOUCH (2)'!$CG7,0)/1000</f>
        <v>1.998</v>
      </c>
      <c r="CS7" s="1">
        <f ca="1">OFFSET('Input data (2)'!AI$126,'Input data (2)'!$BL$1-'Output data - DO NOT TOUCH (2)'!$CG7,0)/1000</f>
        <v>3.177</v>
      </c>
      <c r="CT7" s="1"/>
      <c r="CU7" s="1">
        <f ca="1">OFFSET('Input data (2)'!L$126,'Input data (2)'!$BL$1-'Output data - DO NOT TOUCH (2)'!$CG7,0)</f>
        <v>224</v>
      </c>
      <c r="CV7" s="1">
        <f ca="1">OFFSET('Input data (2)'!M$126,'Input data (2)'!$BL$1-'Output data - DO NOT TOUCH (2)'!$CG7,0)</f>
        <v>1</v>
      </c>
      <c r="CW7" s="67">
        <f ca="1">OFFSET('Input data (2)'!N$126,'Input data (2)'!$BL$1-'Output data - DO NOT TOUCH (2)'!$CG7,0)</f>
        <v>331</v>
      </c>
      <c r="CX7" s="1">
        <f ca="1">OFFSET('Input data (2)'!P$126,'Input data (2)'!$BL$1-'Output data - DO NOT TOUCH (2)'!$CG7,0)</f>
        <v>176</v>
      </c>
      <c r="CY7" s="1"/>
      <c r="CZ7" s="1">
        <f ca="1">OFFSET('Input data (2)'!AY$126,'Input data (2)'!$BL$1-'Output data - DO NOT TOUCH (2)'!$CG7,0)/1000</f>
        <v>0.72</v>
      </c>
      <c r="DA7" s="1">
        <f ca="1">OFFSET('Input data (2)'!BA$126,'Input data (2)'!$BL$1-'Output data - DO NOT TOUCH (2)'!$CG7,0)/1000</f>
        <v>1.4339999999999999</v>
      </c>
      <c r="DB7" s="1">
        <f ca="1">OFFSET('Input data (2)'!BB$126,'Input data (2)'!$BL$1-'Output data - DO NOT TOUCH (2)'!$CG7,0)/1000</f>
        <v>2.1539999999999999</v>
      </c>
      <c r="DD7" s="1">
        <f ca="1">OFFSET('Input data (2)'!AN$126,'Input data (2)'!$BL$1-'Output data - DO NOT TOUCH (2)'!$CG7,0)</f>
        <v>95</v>
      </c>
      <c r="DE7" s="1">
        <f ca="1">OFFSET('Input data (2)'!AO$126,'Input data (2)'!$BL$1-'Output data - DO NOT TOUCH (2)'!$CG7,0)</f>
        <v>58</v>
      </c>
      <c r="DF7" s="1">
        <f ca="1">OFFSET('Input data (2)'!AP$126,'Input data (2)'!$BL$1-'Output data - DO NOT TOUCH (2)'!$CG7,0)</f>
        <v>153</v>
      </c>
      <c r="DG7" s="1"/>
      <c r="DH7" s="1">
        <f ca="1">OFFSET('Input data (2)'!AU$126,'Input data (2)'!$BL$1-'Output data - DO NOT TOUCH (2)'!$CG7,0)</f>
        <v>30</v>
      </c>
      <c r="DI7" s="1">
        <f ca="1">OFFSET('Input data (2)'!AV$126,'Input data (2)'!$BL$1-'Output data - DO NOT TOUCH (2)'!$CG7,0)</f>
        <v>0</v>
      </c>
      <c r="DJ7" s="1">
        <f ca="1">OFFSET('Input data (2)'!AW$126,'Input data (2)'!$BL$1-'Output data - DO NOT TOUCH (2)'!$CG7,0)</f>
        <v>9</v>
      </c>
      <c r="DK7" s="1">
        <f ca="1">OFFSET('Input data (2)'!AX$126,'Input data (2)'!$BL$1-'Output data - DO NOT TOUCH (2)'!$CG7,0)</f>
        <v>1</v>
      </c>
      <c r="DM7" s="1">
        <f ca="1">OFFSET('Input data (2)'!BI$126,'Input data (2)'!$BL$1-'Output data - DO NOT TOUCH (2)'!$CG7,0)</f>
        <v>155</v>
      </c>
      <c r="DN7" s="1">
        <f ca="1">OFFSET('Input data (2)'!BJ$126,'Input data (2)'!$BL$1-'Output data - DO NOT TOUCH (2)'!$CG7,0)</f>
        <v>98</v>
      </c>
      <c r="DO7" s="1">
        <f ca="1">OFFSET('Input data (2)'!BL$126,'Input data (2)'!$BL$1-'Output data - DO NOT TOUCH (2)'!$CG7,0)</f>
        <v>253</v>
      </c>
      <c r="DQ7" s="1">
        <f ca="1">OFFSET('Input data (2)'!BD$126,'Input data (2)'!$BL$1-'Output data - DO NOT TOUCH (2)'!$CG7,0)</f>
        <v>19</v>
      </c>
      <c r="DR7" s="1">
        <f ca="1">OFFSET('Input data (2)'!BE$126,'Input data (2)'!$BL$1-'Output data - DO NOT TOUCH (2)'!$CG7,0)</f>
        <v>16</v>
      </c>
      <c r="DS7" s="1">
        <f ca="1">OFFSET('Input data (2)'!BF$126,'Input data (2)'!$BL$1-'Output data - DO NOT TOUCH (2)'!$CG7,0)</f>
        <v>35</v>
      </c>
      <c r="DU7" s="1">
        <f ca="1">OFFSET('Input data (2)'!B$126,'Input data (2)'!$BL$1-'Output data - DO NOT TOUCH (2)'!$CG7-1,0)</f>
        <v>2003</v>
      </c>
      <c r="DV7" s="1" t="str">
        <f ca="1">OFFSET('Input data (2)'!C$126,'Input data (2)'!$BL$1-'Output data - DO NOT TOUCH (2)'!$CG7-1,0)</f>
        <v>Q4</v>
      </c>
      <c r="DW7" s="1" t="str">
        <f t="shared" ca="1" si="14"/>
        <v>03</v>
      </c>
      <c r="DX7" s="1" t="str">
        <f t="shared" ca="1" si="15"/>
        <v>Q4 03</v>
      </c>
      <c r="DY7" s="1">
        <f ca="1">OFFSET('Input data (2)'!W$126,'Input data (2)'!$BL$1-'Output data - DO NOT TOUCH (2)'!$CG7-1,0)/1000</f>
        <v>2.1080000000000001</v>
      </c>
      <c r="DZ7" s="1">
        <f ca="1">OFFSET('Input data (2)'!Y$126,'Input data (2)'!$BL$1-'Output data - DO NOT TOUCH (2)'!$CG7-1,0)/1000</f>
        <v>4.8319999999999999</v>
      </c>
      <c r="EA7" s="1">
        <f ca="1">OFFSET('Input data (2)'!Q$126,'Input data (2)'!$BL$1-'Output data - DO NOT TOUCH (2)'!$CG7-1,0)/1000</f>
        <v>6.94</v>
      </c>
      <c r="EC7" s="3" t="str">
        <f t="shared" ca="1" si="16"/>
        <v>Q1 12</v>
      </c>
      <c r="ED7" s="68" t="e">
        <f t="shared" ca="1" si="17"/>
        <v>#VALUE!</v>
      </c>
      <c r="EE7" s="68" t="e">
        <f t="shared" ca="1" si="18"/>
        <v>#VALUE!</v>
      </c>
      <c r="EF7" s="68" t="e">
        <f t="shared" ca="1" si="19"/>
        <v>#VALUE!</v>
      </c>
      <c r="EH7" s="68">
        <f t="shared" ca="1" si="20"/>
        <v>-4.634373544480674</v>
      </c>
      <c r="EI7" s="68">
        <f t="shared" ca="1" si="21"/>
        <v>4.7042384722869057</v>
      </c>
      <c r="EJ7" s="68">
        <f t="shared" ca="1" si="22"/>
        <v>6.9864927806231769E-2</v>
      </c>
    </row>
    <row r="8" spans="1:140" x14ac:dyDescent="0.15">
      <c r="A8" s="1">
        <v>36</v>
      </c>
      <c r="B8" s="1">
        <v>37</v>
      </c>
      <c r="C8" s="1">
        <v>38</v>
      </c>
      <c r="D8" s="1">
        <v>35</v>
      </c>
      <c r="F8" s="1">
        <f t="shared" si="23"/>
        <v>2007</v>
      </c>
      <c r="H8" s="1">
        <f t="shared" si="0"/>
        <v>12507</v>
      </c>
      <c r="I8" s="1">
        <f t="shared" si="0"/>
        <v>5165</v>
      </c>
      <c r="J8" s="1">
        <f t="shared" si="0"/>
        <v>7342</v>
      </c>
      <c r="O8" s="119">
        <f t="shared" ca="1" si="1"/>
        <v>1095</v>
      </c>
      <c r="Q8" s="1">
        <f t="shared" ca="1" si="2"/>
        <v>106645</v>
      </c>
      <c r="R8" s="1">
        <f t="shared" ca="1" si="2"/>
        <v>64480</v>
      </c>
      <c r="S8" s="1">
        <f t="shared" ca="1" si="2"/>
        <v>0</v>
      </c>
      <c r="T8" s="1">
        <f t="shared" ca="1" si="2"/>
        <v>42165</v>
      </c>
      <c r="Y8" s="1">
        <f t="shared" ca="1" si="3"/>
        <v>64480</v>
      </c>
      <c r="Z8" s="1">
        <f t="shared" ca="1" si="3"/>
        <v>54433</v>
      </c>
      <c r="AB8" s="1">
        <f t="shared" ca="1" si="4"/>
        <v>10047</v>
      </c>
      <c r="AD8" s="1">
        <f t="shared" ca="1" si="5"/>
        <v>64480</v>
      </c>
      <c r="AE8" s="1">
        <f t="shared" ca="1" si="5"/>
        <v>7058</v>
      </c>
      <c r="AG8" s="1">
        <f t="shared" ca="1" si="6"/>
        <v>57422</v>
      </c>
      <c r="AJ8" s="124">
        <f t="shared" ca="1" si="7"/>
        <v>13332</v>
      </c>
      <c r="AK8" s="124">
        <f t="shared" ca="1" si="7"/>
        <v>77</v>
      </c>
      <c r="AL8" s="124">
        <f t="shared" ca="1" si="7"/>
        <v>13255</v>
      </c>
      <c r="AW8" s="1">
        <f t="shared" ca="1" si="8"/>
        <v>337</v>
      </c>
      <c r="AX8" s="1">
        <f t="shared" ca="1" si="8"/>
        <v>3</v>
      </c>
      <c r="AY8" s="1">
        <f t="shared" ca="1" si="8"/>
        <v>2509</v>
      </c>
      <c r="AZ8" s="1">
        <f t="shared" ca="1" si="8"/>
        <v>418</v>
      </c>
      <c r="BB8" s="1">
        <f t="shared" ca="1" si="9"/>
        <v>13924</v>
      </c>
      <c r="BC8" s="1">
        <f t="shared" ca="1" si="9"/>
        <v>6331</v>
      </c>
      <c r="BD8" s="1">
        <f t="shared" ca="1" si="9"/>
        <v>0</v>
      </c>
      <c r="BE8" s="1">
        <f t="shared" ca="1" si="9"/>
        <v>7593</v>
      </c>
      <c r="BF8" s="1">
        <f t="shared" ca="1" si="9"/>
        <v>539</v>
      </c>
      <c r="BG8" s="1">
        <f t="shared" ca="1" si="9"/>
        <v>439</v>
      </c>
      <c r="BH8" s="1">
        <f t="shared" ca="1" si="9"/>
        <v>100</v>
      </c>
      <c r="BJ8" s="1">
        <f t="shared" ca="1" si="10"/>
        <v>75</v>
      </c>
      <c r="BK8" s="1">
        <f t="shared" ca="1" si="10"/>
        <v>0</v>
      </c>
      <c r="BL8" s="1">
        <f t="shared" ca="1" si="10"/>
        <v>37</v>
      </c>
      <c r="BM8" s="1">
        <f t="shared" ca="1" si="10"/>
        <v>6</v>
      </c>
      <c r="BO8" s="1">
        <f t="shared" ca="1" si="11"/>
        <v>1338</v>
      </c>
      <c r="BP8" s="1">
        <f t="shared" ca="1" si="11"/>
        <v>898</v>
      </c>
      <c r="BQ8" s="1">
        <f t="shared" ca="1" si="11"/>
        <v>0</v>
      </c>
      <c r="BR8" s="1">
        <f t="shared" ca="1" si="11"/>
        <v>440</v>
      </c>
      <c r="BS8" s="1">
        <f t="shared" ca="1" si="11"/>
        <v>164</v>
      </c>
      <c r="BT8" s="1">
        <f t="shared" ca="1" si="11"/>
        <v>122</v>
      </c>
      <c r="BU8" s="1">
        <f t="shared" ca="1" si="11"/>
        <v>42</v>
      </c>
      <c r="CG8" s="1">
        <v>36</v>
      </c>
      <c r="CI8" s="1">
        <f t="shared" ref="CI8:CI44" si="24">CI4+1</f>
        <v>2004</v>
      </c>
      <c r="CJ8" s="1" t="str">
        <f t="shared" ref="CJ8:CJ44" si="25">CJ4</f>
        <v>Q2</v>
      </c>
      <c r="CK8" s="1" t="str">
        <f t="shared" si="12"/>
        <v>04</v>
      </c>
      <c r="CL8" s="1" t="str">
        <f t="shared" si="13"/>
        <v>Q2 04</v>
      </c>
      <c r="CM8" s="1">
        <f ca="1">OFFSET('Input data (2)'!AJ$126,'Input data (2)'!$BL$1-'Output data - DO NOT TOUCH (2)'!$CG8,0)/1000</f>
        <v>8.8130000000000006</v>
      </c>
      <c r="CN8" s="1">
        <f ca="1">OFFSET('Input data (2)'!AK$126,'Input data (2)'!$BL$1-'Output data - DO NOT TOUCH (2)'!$CG8,0)/1000</f>
        <v>2.4159999999999999</v>
      </c>
      <c r="CO8" s="1">
        <f ca="1">OFFSET('Input data (2)'!AL$126,'Input data (2)'!$BL$1-'Output data - DO NOT TOUCH (2)'!$CG8,0)/1000</f>
        <v>11.228999999999999</v>
      </c>
      <c r="CP8" s="1"/>
      <c r="CQ8" s="1">
        <f ca="1">OFFSET('Input data (2)'!AG$126,'Input data (2)'!$BL$1-'Output data - DO NOT TOUCH (2)'!$CG8,0)/1000</f>
        <v>1.1719999999999999</v>
      </c>
      <c r="CR8" s="1">
        <f ca="1">OFFSET('Input data (2)'!AH$126,'Input data (2)'!$BL$1-'Output data - DO NOT TOUCH (2)'!$CG8,0)/1000</f>
        <v>1.883</v>
      </c>
      <c r="CS8" s="1">
        <f ca="1">OFFSET('Input data (2)'!AI$126,'Input data (2)'!$BL$1-'Output data - DO NOT TOUCH (2)'!$CG8,0)/1000</f>
        <v>3.0550000000000002</v>
      </c>
      <c r="CT8" s="1"/>
      <c r="CU8" s="1">
        <f ca="1">OFFSET('Input data (2)'!L$126,'Input data (2)'!$BL$1-'Output data - DO NOT TOUCH (2)'!$CG8,0)</f>
        <v>199</v>
      </c>
      <c r="CV8" s="1">
        <f ca="1">OFFSET('Input data (2)'!M$126,'Input data (2)'!$BL$1-'Output data - DO NOT TOUCH (2)'!$CG8,0)</f>
        <v>0</v>
      </c>
      <c r="CW8" s="67">
        <f ca="1">OFFSET('Input data (2)'!N$126,'Input data (2)'!$BL$1-'Output data - DO NOT TOUCH (2)'!$CG8,0)</f>
        <v>392</v>
      </c>
      <c r="CX8" s="1">
        <f ca="1">OFFSET('Input data (2)'!P$126,'Input data (2)'!$BL$1-'Output data - DO NOT TOUCH (2)'!$CG8,0)</f>
        <v>154</v>
      </c>
      <c r="CY8" s="1"/>
      <c r="CZ8" s="1">
        <f ca="1">OFFSET('Input data (2)'!AY$126,'Input data (2)'!$BL$1-'Output data - DO NOT TOUCH (2)'!$CG8,0)/1000</f>
        <v>0.85099999999999998</v>
      </c>
      <c r="DA8" s="1">
        <f ca="1">OFFSET('Input data (2)'!BA$126,'Input data (2)'!$BL$1-'Output data - DO NOT TOUCH (2)'!$CG8,0)/1000</f>
        <v>1.3089999999999999</v>
      </c>
      <c r="DB8" s="1">
        <f ca="1">OFFSET('Input data (2)'!BB$126,'Input data (2)'!$BL$1-'Output data - DO NOT TOUCH (2)'!$CG8,0)/1000</f>
        <v>2.16</v>
      </c>
      <c r="DD8" s="1">
        <f ca="1">OFFSET('Input data (2)'!AN$126,'Input data (2)'!$BL$1-'Output data - DO NOT TOUCH (2)'!$CG8,0)</f>
        <v>110</v>
      </c>
      <c r="DE8" s="1">
        <f ca="1">OFFSET('Input data (2)'!AO$126,'Input data (2)'!$BL$1-'Output data - DO NOT TOUCH (2)'!$CG8,0)</f>
        <v>37</v>
      </c>
      <c r="DF8" s="1">
        <f ca="1">OFFSET('Input data (2)'!AP$126,'Input data (2)'!$BL$1-'Output data - DO NOT TOUCH (2)'!$CG8,0)</f>
        <v>147</v>
      </c>
      <c r="DG8" s="1"/>
      <c r="DH8" s="1">
        <f ca="1">OFFSET('Input data (2)'!AU$126,'Input data (2)'!$BL$1-'Output data - DO NOT TOUCH (2)'!$CG8,0)</f>
        <v>23</v>
      </c>
      <c r="DI8" s="1">
        <f ca="1">OFFSET('Input data (2)'!AV$126,'Input data (2)'!$BL$1-'Output data - DO NOT TOUCH (2)'!$CG8,0)</f>
        <v>0</v>
      </c>
      <c r="DJ8" s="1">
        <f ca="1">OFFSET('Input data (2)'!AW$126,'Input data (2)'!$BL$1-'Output data - DO NOT TOUCH (2)'!$CG8,0)</f>
        <v>11</v>
      </c>
      <c r="DK8" s="1">
        <f ca="1">OFFSET('Input data (2)'!AX$126,'Input data (2)'!$BL$1-'Output data - DO NOT TOUCH (2)'!$CG8,0)</f>
        <v>4</v>
      </c>
      <c r="DM8" s="1">
        <f ca="1">OFFSET('Input data (2)'!BI$126,'Input data (2)'!$BL$1-'Output data - DO NOT TOUCH (2)'!$CG8,0)</f>
        <v>173</v>
      </c>
      <c r="DN8" s="1">
        <f ca="1">OFFSET('Input data (2)'!BJ$126,'Input data (2)'!$BL$1-'Output data - DO NOT TOUCH (2)'!$CG8,0)</f>
        <v>109</v>
      </c>
      <c r="DO8" s="1">
        <f ca="1">OFFSET('Input data (2)'!BL$126,'Input data (2)'!$BL$1-'Output data - DO NOT TOUCH (2)'!$CG8,0)</f>
        <v>282</v>
      </c>
      <c r="DQ8" s="1">
        <f ca="1">OFFSET('Input data (2)'!BD$126,'Input data (2)'!$BL$1-'Output data - DO NOT TOUCH (2)'!$CG8,0)</f>
        <v>27</v>
      </c>
      <c r="DR8" s="1">
        <f ca="1">OFFSET('Input data (2)'!BE$126,'Input data (2)'!$BL$1-'Output data - DO NOT TOUCH (2)'!$CG8,0)</f>
        <v>12</v>
      </c>
      <c r="DS8" s="1">
        <f ca="1">OFFSET('Input data (2)'!BF$126,'Input data (2)'!$BL$1-'Output data - DO NOT TOUCH (2)'!$CG8,0)</f>
        <v>39</v>
      </c>
      <c r="DU8" s="1">
        <f ca="1">OFFSET('Input data (2)'!B$126,'Input data (2)'!$BL$1-'Output data - DO NOT TOUCH (2)'!$CG8-1,0)</f>
        <v>2004</v>
      </c>
      <c r="DV8" s="1" t="str">
        <f ca="1">OFFSET('Input data (2)'!C$126,'Input data (2)'!$BL$1-'Output data - DO NOT TOUCH (2)'!$CG8-1,0)</f>
        <v>Q1</v>
      </c>
      <c r="DW8" s="1" t="str">
        <f t="shared" ca="1" si="14"/>
        <v>04</v>
      </c>
      <c r="DX8" s="1" t="str">
        <f t="shared" ca="1" si="15"/>
        <v>Q1 04</v>
      </c>
      <c r="DY8" s="1">
        <f ca="1">OFFSET('Input data (2)'!W$126,'Input data (2)'!$BL$1-'Output data - DO NOT TOUCH (2)'!$CG8-1,0)/1000</f>
        <v>2.4369999999999998</v>
      </c>
      <c r="DZ8" s="1">
        <f ca="1">OFFSET('Input data (2)'!Y$126,'Input data (2)'!$BL$1-'Output data - DO NOT TOUCH (2)'!$CG8-1,0)/1000</f>
        <v>6.0869999999999997</v>
      </c>
      <c r="EA8" s="1">
        <f ca="1">OFFSET('Input data (2)'!Q$126,'Input data (2)'!$BL$1-'Output data - DO NOT TOUCH (2)'!$CG8-1,0)/1000</f>
        <v>8.5239999999999991</v>
      </c>
      <c r="EC8" s="3" t="str">
        <f t="shared" si="16"/>
        <v>Q2 12</v>
      </c>
      <c r="ED8" s="68" t="e">
        <f t="shared" ca="1" si="17"/>
        <v>#VALUE!</v>
      </c>
      <c r="EE8" s="68" t="e">
        <f t="shared" ca="1" si="18"/>
        <v>#VALUE!</v>
      </c>
      <c r="EF8" s="68" t="e">
        <f t="shared" ca="1" si="19"/>
        <v>#VALUE!</v>
      </c>
      <c r="EH8" s="68">
        <f t="shared" ca="1" si="20"/>
        <v>-4.0958808471026291</v>
      </c>
      <c r="EI8" s="68">
        <f t="shared" ca="1" si="21"/>
        <v>-1.326506865254828</v>
      </c>
      <c r="EJ8" s="68">
        <f t="shared" ca="1" si="22"/>
        <v>-5.4223877123574571</v>
      </c>
    </row>
    <row r="9" spans="1:140" x14ac:dyDescent="0.15">
      <c r="A9" s="1">
        <v>35</v>
      </c>
      <c r="B9" s="1">
        <v>36</v>
      </c>
      <c r="C9" s="1">
        <v>37</v>
      </c>
      <c r="D9" s="1">
        <v>34</v>
      </c>
      <c r="F9" s="1">
        <f t="shared" si="23"/>
        <v>2008</v>
      </c>
      <c r="H9" s="1">
        <f t="shared" si="0"/>
        <v>15535</v>
      </c>
      <c r="I9" s="1">
        <f t="shared" si="0"/>
        <v>5494</v>
      </c>
      <c r="J9" s="1">
        <f t="shared" si="0"/>
        <v>10041</v>
      </c>
      <c r="O9" s="119">
        <f t="shared" ca="1" si="1"/>
        <v>993</v>
      </c>
      <c r="Q9" s="1">
        <f t="shared" ca="1" si="2"/>
        <v>106544</v>
      </c>
      <c r="R9" s="1">
        <f t="shared" ca="1" si="2"/>
        <v>67428</v>
      </c>
      <c r="S9" s="1">
        <f t="shared" ca="1" si="2"/>
        <v>0</v>
      </c>
      <c r="T9" s="1">
        <f t="shared" ca="1" si="2"/>
        <v>39116</v>
      </c>
      <c r="Y9" s="1">
        <f t="shared" ca="1" si="3"/>
        <v>67428</v>
      </c>
      <c r="Z9" s="1">
        <f t="shared" ca="1" si="3"/>
        <v>56600</v>
      </c>
      <c r="AB9" s="1">
        <f t="shared" ca="1" si="4"/>
        <v>10828</v>
      </c>
      <c r="AD9" s="1">
        <f t="shared" ca="1" si="5"/>
        <v>67428</v>
      </c>
      <c r="AE9" s="1">
        <f t="shared" ca="1" si="5"/>
        <v>8183</v>
      </c>
      <c r="AG9" s="1">
        <f t="shared" ca="1" si="6"/>
        <v>59245</v>
      </c>
      <c r="AJ9" s="124">
        <f t="shared" ca="1" si="7"/>
        <v>13265</v>
      </c>
      <c r="AK9" s="124">
        <f t="shared" ca="1" si="7"/>
        <v>67</v>
      </c>
      <c r="AL9" s="124">
        <f t="shared" ca="1" si="7"/>
        <v>13198</v>
      </c>
      <c r="AW9" s="1">
        <f t="shared" ca="1" si="8"/>
        <v>867</v>
      </c>
      <c r="AX9" s="1">
        <f t="shared" ca="1" si="8"/>
        <v>2</v>
      </c>
      <c r="AY9" s="1">
        <f t="shared" ca="1" si="8"/>
        <v>4820</v>
      </c>
      <c r="AZ9" s="1">
        <f t="shared" ca="1" si="8"/>
        <v>587</v>
      </c>
      <c r="BB9" s="1">
        <f t="shared" ca="1" si="9"/>
        <v>19991</v>
      </c>
      <c r="BC9" s="1">
        <f t="shared" ca="1" si="9"/>
        <v>12449</v>
      </c>
      <c r="BD9" s="1">
        <f t="shared" ca="1" si="9"/>
        <v>7133</v>
      </c>
      <c r="BE9" s="1">
        <f t="shared" ca="1" si="9"/>
        <v>7542</v>
      </c>
      <c r="BF9" s="1">
        <f t="shared" ca="1" si="9"/>
        <v>524</v>
      </c>
      <c r="BG9" s="1">
        <f t="shared" ca="1" si="9"/>
        <v>437</v>
      </c>
      <c r="BH9" s="1">
        <f t="shared" ca="1" si="9"/>
        <v>87</v>
      </c>
      <c r="BJ9" s="1">
        <f t="shared" ca="1" si="10"/>
        <v>121</v>
      </c>
      <c r="BK9" s="1">
        <f t="shared" ca="1" si="10"/>
        <v>0</v>
      </c>
      <c r="BL9" s="1">
        <f t="shared" ca="1" si="10"/>
        <v>123</v>
      </c>
      <c r="BM9" s="1">
        <f t="shared" ca="1" si="10"/>
        <v>4</v>
      </c>
      <c r="BO9" s="1">
        <f t="shared" ca="1" si="11"/>
        <v>1638</v>
      </c>
      <c r="BP9" s="1">
        <f t="shared" ca="1" si="11"/>
        <v>1079</v>
      </c>
      <c r="BQ9" s="1">
        <f t="shared" ca="1" si="11"/>
        <v>0</v>
      </c>
      <c r="BR9" s="1">
        <f t="shared" ca="1" si="11"/>
        <v>559</v>
      </c>
      <c r="BS9" s="1">
        <f t="shared" ca="1" si="11"/>
        <v>209</v>
      </c>
      <c r="BT9" s="1">
        <f t="shared" ca="1" si="11"/>
        <v>158</v>
      </c>
      <c r="BU9" s="1">
        <f t="shared" ca="1" si="11"/>
        <v>51</v>
      </c>
      <c r="CG9" s="1">
        <v>35</v>
      </c>
      <c r="CI9" s="1">
        <f t="shared" ca="1" si="24"/>
        <v>2004</v>
      </c>
      <c r="CJ9" s="1" t="str">
        <f t="shared" si="25"/>
        <v>Q3</v>
      </c>
      <c r="CK9" s="1" t="str">
        <f t="shared" ca="1" si="12"/>
        <v>04</v>
      </c>
      <c r="CL9" s="1" t="str">
        <f t="shared" ca="1" si="13"/>
        <v>Q3 04</v>
      </c>
      <c r="CM9" s="1">
        <f ca="1">OFFSET('Input data (2)'!AJ$126,'Input data (2)'!$BL$1-'Output data - DO NOT TOUCH (2)'!$CG9,0)/1000</f>
        <v>9.3650000000000002</v>
      </c>
      <c r="CN9" s="1">
        <f ca="1">OFFSET('Input data (2)'!AK$126,'Input data (2)'!$BL$1-'Output data - DO NOT TOUCH (2)'!$CG9,0)/1000</f>
        <v>2.7589999999999999</v>
      </c>
      <c r="CO9" s="1">
        <f ca="1">OFFSET('Input data (2)'!AL$126,'Input data (2)'!$BL$1-'Output data - DO NOT TOUCH (2)'!$CG9,0)/1000</f>
        <v>12.124000000000001</v>
      </c>
      <c r="CP9" s="1"/>
      <c r="CQ9" s="1">
        <f ca="1">OFFSET('Input data (2)'!AG$126,'Input data (2)'!$BL$1-'Output data - DO NOT TOUCH (2)'!$CG9,0)/1000</f>
        <v>1.115</v>
      </c>
      <c r="CR9" s="1">
        <f ca="1">OFFSET('Input data (2)'!AH$126,'Input data (2)'!$BL$1-'Output data - DO NOT TOUCH (2)'!$CG9,0)/1000</f>
        <v>1.8720000000000001</v>
      </c>
      <c r="CS9" s="1">
        <f ca="1">OFFSET('Input data (2)'!AI$126,'Input data (2)'!$BL$1-'Output data - DO NOT TOUCH (2)'!$CG9,0)/1000</f>
        <v>2.9870000000000001</v>
      </c>
      <c r="CT9" s="1"/>
      <c r="CU9" s="1">
        <f ca="1">OFFSET('Input data (2)'!L$126,'Input data (2)'!$BL$1-'Output data - DO NOT TOUCH (2)'!$CG9,0)</f>
        <v>203</v>
      </c>
      <c r="CV9" s="1">
        <f ca="1">OFFSET('Input data (2)'!M$126,'Input data (2)'!$BL$1-'Output data - DO NOT TOUCH (2)'!$CG9,0)</f>
        <v>0</v>
      </c>
      <c r="CW9" s="67">
        <f ca="1">OFFSET('Input data (2)'!N$126,'Input data (2)'!$BL$1-'Output data - DO NOT TOUCH (2)'!$CG9,0)</f>
        <v>421</v>
      </c>
      <c r="CX9" s="1">
        <f ca="1">OFFSET('Input data (2)'!P$126,'Input data (2)'!$BL$1-'Output data - DO NOT TOUCH (2)'!$CG9,0)</f>
        <v>137</v>
      </c>
      <c r="CY9" s="1"/>
      <c r="CZ9" s="1">
        <f ca="1">OFFSET('Input data (2)'!AY$126,'Input data (2)'!$BL$1-'Output data - DO NOT TOUCH (2)'!$CG9,0)/1000</f>
        <v>0.92300000000000004</v>
      </c>
      <c r="DA9" s="1">
        <f ca="1">OFFSET('Input data (2)'!BA$126,'Input data (2)'!$BL$1-'Output data - DO NOT TOUCH (2)'!$CG9,0)/1000</f>
        <v>1.518</v>
      </c>
      <c r="DB9" s="1">
        <f ca="1">OFFSET('Input data (2)'!BB$126,'Input data (2)'!$BL$1-'Output data - DO NOT TOUCH (2)'!$CG9,0)/1000</f>
        <v>2.4409999999999998</v>
      </c>
      <c r="DD9" s="1">
        <f ca="1">OFFSET('Input data (2)'!AN$126,'Input data (2)'!$BL$1-'Output data - DO NOT TOUCH (2)'!$CG9,0)</f>
        <v>113</v>
      </c>
      <c r="DE9" s="1">
        <f ca="1">OFFSET('Input data (2)'!AO$126,'Input data (2)'!$BL$1-'Output data - DO NOT TOUCH (2)'!$CG9,0)</f>
        <v>55</v>
      </c>
      <c r="DF9" s="1">
        <f ca="1">OFFSET('Input data (2)'!AP$126,'Input data (2)'!$BL$1-'Output data - DO NOT TOUCH (2)'!$CG9,0)</f>
        <v>168</v>
      </c>
      <c r="DG9" s="1"/>
      <c r="DH9" s="1">
        <f ca="1">OFFSET('Input data (2)'!AU$126,'Input data (2)'!$BL$1-'Output data - DO NOT TOUCH (2)'!$CG9,0)</f>
        <v>13</v>
      </c>
      <c r="DI9" s="1">
        <f ca="1">OFFSET('Input data (2)'!AV$126,'Input data (2)'!$BL$1-'Output data - DO NOT TOUCH (2)'!$CG9,0)</f>
        <v>0</v>
      </c>
      <c r="DJ9" s="1">
        <f ca="1">OFFSET('Input data (2)'!AW$126,'Input data (2)'!$BL$1-'Output data - DO NOT TOUCH (2)'!$CG9,0)</f>
        <v>7</v>
      </c>
      <c r="DK9" s="1">
        <f ca="1">OFFSET('Input data (2)'!AX$126,'Input data (2)'!$BL$1-'Output data - DO NOT TOUCH (2)'!$CG9,0)</f>
        <v>0</v>
      </c>
      <c r="DM9" s="1">
        <f ca="1">OFFSET('Input data (2)'!BI$126,'Input data (2)'!$BL$1-'Output data - DO NOT TOUCH (2)'!$CG9,0)</f>
        <v>165</v>
      </c>
      <c r="DN9" s="1">
        <f ca="1">OFFSET('Input data (2)'!BJ$126,'Input data (2)'!$BL$1-'Output data - DO NOT TOUCH (2)'!$CG9,0)</f>
        <v>121</v>
      </c>
      <c r="DO9" s="1">
        <f ca="1">OFFSET('Input data (2)'!BL$126,'Input data (2)'!$BL$1-'Output data - DO NOT TOUCH (2)'!$CG9,0)</f>
        <v>286</v>
      </c>
      <c r="DQ9" s="1">
        <f ca="1">OFFSET('Input data (2)'!BD$126,'Input data (2)'!$BL$1-'Output data - DO NOT TOUCH (2)'!$CG9,0)</f>
        <v>20</v>
      </c>
      <c r="DR9" s="1">
        <f ca="1">OFFSET('Input data (2)'!BE$126,'Input data (2)'!$BL$1-'Output data - DO NOT TOUCH (2)'!$CG9,0)</f>
        <v>8</v>
      </c>
      <c r="DS9" s="1">
        <f ca="1">OFFSET('Input data (2)'!BF$126,'Input data (2)'!$BL$1-'Output data - DO NOT TOUCH (2)'!$CG9,0)</f>
        <v>28</v>
      </c>
      <c r="DU9" s="1">
        <f ca="1">OFFSET('Input data (2)'!B$126,'Input data (2)'!$BL$1-'Output data - DO NOT TOUCH (2)'!$CG9-1,0)</f>
        <v>2004</v>
      </c>
      <c r="DV9" s="1" t="str">
        <f ca="1">OFFSET('Input data (2)'!C$126,'Input data (2)'!$BL$1-'Output data - DO NOT TOUCH (2)'!$CG9-1,0)</f>
        <v>Q2</v>
      </c>
      <c r="DW9" s="1" t="str">
        <f t="shared" ca="1" si="14"/>
        <v>04</v>
      </c>
      <c r="DX9" s="1" t="str">
        <f t="shared" ca="1" si="15"/>
        <v>Q2 04</v>
      </c>
      <c r="DY9" s="1">
        <f ca="1">OFFSET('Input data (2)'!W$126,'Input data (2)'!$BL$1-'Output data - DO NOT TOUCH (2)'!$CG9-1,0)/1000</f>
        <v>2.4550000000000001</v>
      </c>
      <c r="DZ9" s="1">
        <f ca="1">OFFSET('Input data (2)'!Y$126,'Input data (2)'!$BL$1-'Output data - DO NOT TOUCH (2)'!$CG9-1,0)/1000</f>
        <v>6.6050000000000004</v>
      </c>
      <c r="EA9" s="1">
        <f ca="1">OFFSET('Input data (2)'!Q$126,'Input data (2)'!$BL$1-'Output data - DO NOT TOUCH (2)'!$CG9-1,0)/1000</f>
        <v>9.06</v>
      </c>
      <c r="EC9" s="3" t="str">
        <f t="shared" ca="1" si="16"/>
        <v>Q3 12</v>
      </c>
      <c r="ED9" s="68" t="e">
        <f t="shared" ca="1" si="17"/>
        <v>#VALUE!</v>
      </c>
      <c r="EE9" s="68" t="e">
        <f t="shared" ca="1" si="18"/>
        <v>#VALUE!</v>
      </c>
      <c r="EF9" s="68" t="e">
        <f t="shared" ca="1" si="19"/>
        <v>#VALUE!</v>
      </c>
      <c r="EH9" s="68">
        <f t="shared" ca="1" si="20"/>
        <v>1.2303149606299226</v>
      </c>
      <c r="EI9" s="68">
        <f t="shared" ca="1" si="21"/>
        <v>-3.9370078740157473</v>
      </c>
      <c r="EJ9" s="68">
        <f t="shared" ca="1" si="22"/>
        <v>-2.7066929133858246</v>
      </c>
    </row>
    <row r="10" spans="1:140" x14ac:dyDescent="0.15">
      <c r="A10" s="1">
        <v>34</v>
      </c>
      <c r="B10" s="1">
        <v>35</v>
      </c>
      <c r="C10" s="1">
        <v>36</v>
      </c>
      <c r="D10" s="1">
        <v>33</v>
      </c>
      <c r="F10" s="1">
        <f t="shared" si="23"/>
        <v>2009</v>
      </c>
      <c r="H10" s="1">
        <f t="shared" si="0"/>
        <v>19077</v>
      </c>
      <c r="I10" s="1">
        <f t="shared" si="0"/>
        <v>5643</v>
      </c>
      <c r="J10" s="1">
        <f t="shared" si="0"/>
        <v>13434</v>
      </c>
      <c r="O10" s="119">
        <f t="shared" ca="1" si="1"/>
        <v>1469</v>
      </c>
      <c r="Q10" s="1">
        <f t="shared" ca="1" si="2"/>
        <v>134142</v>
      </c>
      <c r="R10" s="1">
        <f t="shared" ca="1" si="2"/>
        <v>74670</v>
      </c>
      <c r="S10" s="1">
        <f t="shared" ca="1" si="2"/>
        <v>11831</v>
      </c>
      <c r="T10" s="1">
        <f t="shared" ca="1" si="2"/>
        <v>47641</v>
      </c>
      <c r="Y10" s="1">
        <f t="shared" ca="1" si="3"/>
        <v>74670</v>
      </c>
      <c r="Z10" s="1">
        <f t="shared" ca="1" si="3"/>
        <v>63804</v>
      </c>
      <c r="AB10" s="1">
        <f t="shared" ca="1" si="4"/>
        <v>10866</v>
      </c>
      <c r="AD10" s="1">
        <f t="shared" ca="1" si="5"/>
        <v>74670</v>
      </c>
      <c r="AE10" s="1">
        <f t="shared" ca="1" si="5"/>
        <v>9753</v>
      </c>
      <c r="AG10" s="1">
        <f t="shared" ca="1" si="6"/>
        <v>64917</v>
      </c>
      <c r="AJ10" s="124">
        <f t="shared" ca="1" si="7"/>
        <v>15401</v>
      </c>
      <c r="AK10" s="124">
        <f t="shared" ca="1" si="7"/>
        <v>64</v>
      </c>
      <c r="AL10" s="124">
        <f t="shared" ca="1" si="7"/>
        <v>15337</v>
      </c>
      <c r="AW10" s="1">
        <f t="shared" ca="1" si="8"/>
        <v>1468</v>
      </c>
      <c r="AX10" s="1">
        <f t="shared" ca="1" si="8"/>
        <v>0</v>
      </c>
      <c r="AY10" s="1">
        <f t="shared" ca="1" si="8"/>
        <v>4161</v>
      </c>
      <c r="AZ10" s="1">
        <f t="shared" ca="1" si="8"/>
        <v>726</v>
      </c>
      <c r="BB10" s="1">
        <f t="shared" ca="1" si="9"/>
        <v>23541</v>
      </c>
      <c r="BC10" s="1">
        <f t="shared" ca="1" si="9"/>
        <v>14415</v>
      </c>
      <c r="BD10" s="1">
        <f t="shared" ca="1" si="9"/>
        <v>8775</v>
      </c>
      <c r="BE10" s="1">
        <f t="shared" ca="1" si="9"/>
        <v>9126</v>
      </c>
      <c r="BF10" s="1">
        <f t="shared" ca="1" si="9"/>
        <v>584</v>
      </c>
      <c r="BG10" s="1">
        <f t="shared" ca="1" si="9"/>
        <v>432</v>
      </c>
      <c r="BH10" s="1">
        <f t="shared" ca="1" si="9"/>
        <v>152</v>
      </c>
      <c r="BJ10" s="1">
        <f t="shared" ca="1" si="10"/>
        <v>40</v>
      </c>
      <c r="BK10" s="1">
        <f t="shared" ca="1" si="10"/>
        <v>0</v>
      </c>
      <c r="BL10" s="1">
        <f t="shared" ca="1" si="10"/>
        <v>134</v>
      </c>
      <c r="BM10" s="1">
        <f t="shared" ca="1" si="10"/>
        <v>6</v>
      </c>
      <c r="BO10" s="1">
        <f t="shared" ca="1" si="11"/>
        <v>1958</v>
      </c>
      <c r="BP10" s="1">
        <f t="shared" ca="1" si="11"/>
        <v>1236</v>
      </c>
      <c r="BQ10" s="1">
        <f t="shared" ca="1" si="11"/>
        <v>0</v>
      </c>
      <c r="BR10" s="1">
        <f t="shared" ca="1" si="11"/>
        <v>722</v>
      </c>
      <c r="BS10" s="1">
        <f t="shared" ca="1" si="11"/>
        <v>247</v>
      </c>
      <c r="BT10" s="1">
        <f t="shared" ca="1" si="11"/>
        <v>164</v>
      </c>
      <c r="BU10" s="1">
        <f t="shared" ca="1" si="11"/>
        <v>83</v>
      </c>
      <c r="CG10" s="1">
        <v>34</v>
      </c>
      <c r="CI10" s="1">
        <f t="shared" ca="1" si="24"/>
        <v>2004</v>
      </c>
      <c r="CJ10" s="1" t="str">
        <f t="shared" si="25"/>
        <v>Q4</v>
      </c>
      <c r="CK10" s="1" t="str">
        <f t="shared" ca="1" si="12"/>
        <v>04</v>
      </c>
      <c r="CL10" s="1" t="str">
        <f t="shared" ca="1" si="13"/>
        <v>Q4 04</v>
      </c>
      <c r="CM10" s="1">
        <f ca="1">OFFSET('Input data (2)'!AJ$126,'Input data (2)'!$BL$1-'Output data - DO NOT TOUCH (2)'!$CG10,0)/1000</f>
        <v>9.6929999999999996</v>
      </c>
      <c r="CN10" s="1">
        <f ca="1">OFFSET('Input data (2)'!AK$126,'Input data (2)'!$BL$1-'Output data - DO NOT TOUCH (2)'!$CG10,0)/1000</f>
        <v>3.1920000000000002</v>
      </c>
      <c r="CO10" s="1">
        <f ca="1">OFFSET('Input data (2)'!AL$126,'Input data (2)'!$BL$1-'Output data - DO NOT TOUCH (2)'!$CG10,0)/1000</f>
        <v>12.885</v>
      </c>
      <c r="CP10" s="1"/>
      <c r="CQ10" s="1">
        <f ca="1">OFFSET('Input data (2)'!AG$126,'Input data (2)'!$BL$1-'Output data - DO NOT TOUCH (2)'!$CG10,0)/1000</f>
        <v>1.1180000000000001</v>
      </c>
      <c r="CR10" s="1">
        <f ca="1">OFFSET('Input data (2)'!AH$126,'Input data (2)'!$BL$1-'Output data - DO NOT TOUCH (2)'!$CG10,0)/1000</f>
        <v>1.8540000000000001</v>
      </c>
      <c r="CS10" s="1">
        <f ca="1">OFFSET('Input data (2)'!AI$126,'Input data (2)'!$BL$1-'Output data - DO NOT TOUCH (2)'!$CG10,0)/1000</f>
        <v>2.972</v>
      </c>
      <c r="CT10" s="1"/>
      <c r="CU10" s="1">
        <f ca="1">OFFSET('Input data (2)'!L$126,'Input data (2)'!$BL$1-'Output data - DO NOT TOUCH (2)'!$CG10,0)</f>
        <v>238</v>
      </c>
      <c r="CV10" s="1">
        <f ca="1">OFFSET('Input data (2)'!M$126,'Input data (2)'!$BL$1-'Output data - DO NOT TOUCH (2)'!$CG10,0)</f>
        <v>0</v>
      </c>
      <c r="CW10" s="67">
        <f ca="1">OFFSET('Input data (2)'!N$126,'Input data (2)'!$BL$1-'Output data - DO NOT TOUCH (2)'!$CG10,0)</f>
        <v>457</v>
      </c>
      <c r="CX10" s="1">
        <f ca="1">OFFSET('Input data (2)'!P$126,'Input data (2)'!$BL$1-'Output data - DO NOT TOUCH (2)'!$CG10,0)</f>
        <v>130</v>
      </c>
      <c r="CY10" s="1"/>
      <c r="CZ10" s="1">
        <f ca="1">OFFSET('Input data (2)'!AY$126,'Input data (2)'!$BL$1-'Output data - DO NOT TOUCH (2)'!$CG10,0)/1000</f>
        <v>0.80300000000000005</v>
      </c>
      <c r="DA10" s="1">
        <f ca="1">OFFSET('Input data (2)'!BA$126,'Input data (2)'!$BL$1-'Output data - DO NOT TOUCH (2)'!$CG10,0)/1000</f>
        <v>1.7629999999999999</v>
      </c>
      <c r="DB10" s="1">
        <f ca="1">OFFSET('Input data (2)'!BB$126,'Input data (2)'!$BL$1-'Output data - DO NOT TOUCH (2)'!$CG10,0)/1000</f>
        <v>2.5659999999999998</v>
      </c>
      <c r="DD10" s="1">
        <f ca="1">OFFSET('Input data (2)'!AN$126,'Input data (2)'!$BL$1-'Output data - DO NOT TOUCH (2)'!$CG10,0)</f>
        <v>113</v>
      </c>
      <c r="DE10" s="1">
        <f ca="1">OFFSET('Input data (2)'!AO$126,'Input data (2)'!$BL$1-'Output data - DO NOT TOUCH (2)'!$CG10,0)</f>
        <v>40</v>
      </c>
      <c r="DF10" s="1">
        <f ca="1">OFFSET('Input data (2)'!AP$126,'Input data (2)'!$BL$1-'Output data - DO NOT TOUCH (2)'!$CG10,0)</f>
        <v>153</v>
      </c>
      <c r="DG10" s="1"/>
      <c r="DH10" s="1">
        <f ca="1">OFFSET('Input data (2)'!AU$126,'Input data (2)'!$BL$1-'Output data - DO NOT TOUCH (2)'!$CG10,0)</f>
        <v>16</v>
      </c>
      <c r="DI10" s="1">
        <f ca="1">OFFSET('Input data (2)'!AV$126,'Input data (2)'!$BL$1-'Output data - DO NOT TOUCH (2)'!$CG10,0)</f>
        <v>0</v>
      </c>
      <c r="DJ10" s="1">
        <f ca="1">OFFSET('Input data (2)'!AW$126,'Input data (2)'!$BL$1-'Output data - DO NOT TOUCH (2)'!$CG10,0)</f>
        <v>4</v>
      </c>
      <c r="DK10" s="1">
        <f ca="1">OFFSET('Input data (2)'!AX$126,'Input data (2)'!$BL$1-'Output data - DO NOT TOUCH (2)'!$CG10,0)</f>
        <v>1</v>
      </c>
      <c r="DM10" s="1">
        <f ca="1">OFFSET('Input data (2)'!BI$126,'Input data (2)'!$BL$1-'Output data - DO NOT TOUCH (2)'!$CG10,0)</f>
        <v>173</v>
      </c>
      <c r="DN10" s="1">
        <f ca="1">OFFSET('Input data (2)'!BJ$126,'Input data (2)'!$BL$1-'Output data - DO NOT TOUCH (2)'!$CG10,0)</f>
        <v>121</v>
      </c>
      <c r="DO10" s="1">
        <f ca="1">OFFSET('Input data (2)'!BL$126,'Input data (2)'!$BL$1-'Output data - DO NOT TOUCH (2)'!$CG10,0)</f>
        <v>294</v>
      </c>
      <c r="DQ10" s="1">
        <f ca="1">OFFSET('Input data (2)'!BD$126,'Input data (2)'!$BL$1-'Output data - DO NOT TOUCH (2)'!$CG10,0)</f>
        <v>10</v>
      </c>
      <c r="DR10" s="1">
        <f ca="1">OFFSET('Input data (2)'!BE$126,'Input data (2)'!$BL$1-'Output data - DO NOT TOUCH (2)'!$CG10,0)</f>
        <v>9</v>
      </c>
      <c r="DS10" s="1">
        <f ca="1">OFFSET('Input data (2)'!BF$126,'Input data (2)'!$BL$1-'Output data - DO NOT TOUCH (2)'!$CG10,0)</f>
        <v>19</v>
      </c>
      <c r="DU10" s="1">
        <f ca="1">OFFSET('Input data (2)'!B$126,'Input data (2)'!$BL$1-'Output data - DO NOT TOUCH (2)'!$CG10-1,0)</f>
        <v>2004</v>
      </c>
      <c r="DV10" s="1" t="str">
        <f ca="1">OFFSET('Input data (2)'!C$126,'Input data (2)'!$BL$1-'Output data - DO NOT TOUCH (2)'!$CG10-1,0)</f>
        <v>Q3</v>
      </c>
      <c r="DW10" s="1" t="str">
        <f t="shared" ca="1" si="14"/>
        <v>04</v>
      </c>
      <c r="DX10" s="1" t="str">
        <f t="shared" ca="1" si="15"/>
        <v>Q3 04</v>
      </c>
      <c r="DY10" s="1">
        <f ca="1">OFFSET('Input data (2)'!W$126,'Input data (2)'!$BL$1-'Output data - DO NOT TOUCH (2)'!$CG10-1,0)/1000</f>
        <v>2.2999999999999998</v>
      </c>
      <c r="DZ10" s="1">
        <f ca="1">OFFSET('Input data (2)'!Y$126,'Input data (2)'!$BL$1-'Output data - DO NOT TOUCH (2)'!$CG10-1,0)/1000</f>
        <v>7.0149999999999997</v>
      </c>
      <c r="EA10" s="1">
        <f ca="1">OFFSET('Input data (2)'!Q$126,'Input data (2)'!$BL$1-'Output data - DO NOT TOUCH (2)'!$CG10-1,0)/1000</f>
        <v>9.3149999999999995</v>
      </c>
      <c r="EC10" s="3" t="str">
        <f t="shared" ca="1" si="16"/>
        <v>Q4 12</v>
      </c>
      <c r="ED10" s="68" t="e">
        <f t="shared" ca="1" si="17"/>
        <v>#VALUE!</v>
      </c>
      <c r="EE10" s="68" t="e">
        <f t="shared" ca="1" si="18"/>
        <v>#VALUE!</v>
      </c>
      <c r="EF10" s="68" t="e">
        <f t="shared" ca="1" si="19"/>
        <v>#VALUE!</v>
      </c>
      <c r="EH10" s="68">
        <f t="shared" ca="1" si="20"/>
        <v>-3.6671724835609494</v>
      </c>
      <c r="EI10" s="68">
        <f t="shared" ca="1" si="21"/>
        <v>0.35407182599899412</v>
      </c>
      <c r="EJ10" s="68">
        <f t="shared" ca="1" si="22"/>
        <v>-3.3131006575619555</v>
      </c>
    </row>
    <row r="11" spans="1:140" x14ac:dyDescent="0.15">
      <c r="A11" s="1">
        <v>33</v>
      </c>
      <c r="B11" s="1">
        <v>34</v>
      </c>
      <c r="C11" s="1">
        <v>35</v>
      </c>
      <c r="D11" s="1">
        <v>32</v>
      </c>
      <c r="F11" s="1">
        <f t="shared" si="23"/>
        <v>2010</v>
      </c>
      <c r="H11" s="1">
        <f t="shared" si="0"/>
        <v>16045</v>
      </c>
      <c r="I11" s="1">
        <f t="shared" si="0"/>
        <v>4792</v>
      </c>
      <c r="J11" s="1">
        <f t="shared" si="0"/>
        <v>11253</v>
      </c>
      <c r="O11" s="119">
        <f t="shared" ca="1" si="1"/>
        <v>1483</v>
      </c>
      <c r="Q11" s="1">
        <f t="shared" ca="1" si="2"/>
        <v>135045</v>
      </c>
      <c r="R11" s="1">
        <f t="shared" ca="1" si="2"/>
        <v>59173</v>
      </c>
      <c r="S11" s="1">
        <f t="shared" ca="1" si="2"/>
        <v>25179</v>
      </c>
      <c r="T11" s="1">
        <f t="shared" ca="1" si="2"/>
        <v>50693</v>
      </c>
      <c r="Y11" s="1">
        <f t="shared" ca="1" si="3"/>
        <v>59173</v>
      </c>
      <c r="Z11" s="1">
        <f t="shared" ca="1" si="3"/>
        <v>50631</v>
      </c>
      <c r="AB11" s="1">
        <f t="shared" ca="1" si="4"/>
        <v>8542</v>
      </c>
      <c r="AD11" s="1">
        <f t="shared" ca="1" si="5"/>
        <v>59173</v>
      </c>
      <c r="AE11" s="1">
        <f t="shared" ca="1" si="5"/>
        <v>8157</v>
      </c>
      <c r="AG11" s="1">
        <f t="shared" ca="1" si="6"/>
        <v>51016</v>
      </c>
      <c r="AJ11" s="124">
        <f t="shared" ca="1" si="7"/>
        <v>13741</v>
      </c>
      <c r="AK11" s="124">
        <f t="shared" ca="1" si="7"/>
        <v>52</v>
      </c>
      <c r="AL11" s="124">
        <f t="shared" ca="1" si="7"/>
        <v>13689</v>
      </c>
      <c r="AW11" s="1">
        <f t="shared" ca="1" si="8"/>
        <v>1309</v>
      </c>
      <c r="AX11" s="1">
        <f t="shared" ca="1" si="8"/>
        <v>4</v>
      </c>
      <c r="AY11" s="1">
        <f t="shared" ca="1" si="8"/>
        <v>2831</v>
      </c>
      <c r="AZ11" s="1">
        <f t="shared" ca="1" si="8"/>
        <v>765</v>
      </c>
      <c r="BB11" s="1">
        <f t="shared" ca="1" si="9"/>
        <v>20344</v>
      </c>
      <c r="BC11" s="1">
        <f t="shared" ca="1" si="9"/>
        <v>11906</v>
      </c>
      <c r="BD11" s="1">
        <f t="shared" ca="1" si="9"/>
        <v>6801</v>
      </c>
      <c r="BE11" s="1">
        <f t="shared" ca="1" si="9"/>
        <v>8438</v>
      </c>
      <c r="BF11" s="1">
        <f t="shared" ca="1" si="9"/>
        <v>1041</v>
      </c>
      <c r="BG11" s="1">
        <f t="shared" ca="1" si="9"/>
        <v>735</v>
      </c>
      <c r="BH11" s="1">
        <f t="shared" ca="1" si="9"/>
        <v>306</v>
      </c>
      <c r="BJ11" s="1">
        <f t="shared" ca="1" si="10"/>
        <v>49</v>
      </c>
      <c r="BK11" s="1">
        <f t="shared" ca="1" si="10"/>
        <v>2</v>
      </c>
      <c r="BL11" s="1">
        <f t="shared" ca="1" si="10"/>
        <v>241</v>
      </c>
      <c r="BM11" s="1">
        <f t="shared" ca="1" si="10"/>
        <v>7</v>
      </c>
      <c r="BO11" s="1">
        <f t="shared" ca="1" si="11"/>
        <v>2323</v>
      </c>
      <c r="BP11" s="1">
        <f t="shared" ca="1" si="11"/>
        <v>1321</v>
      </c>
      <c r="BQ11" s="1">
        <f t="shared" ca="1" si="11"/>
        <v>0</v>
      </c>
      <c r="BR11" s="1">
        <f t="shared" ca="1" si="11"/>
        <v>1002</v>
      </c>
      <c r="BS11" s="1">
        <f t="shared" ca="1" si="11"/>
        <v>382</v>
      </c>
      <c r="BT11" s="1">
        <f t="shared" ca="1" si="11"/>
        <v>250</v>
      </c>
      <c r="BU11" s="1">
        <f t="shared" ca="1" si="11"/>
        <v>132</v>
      </c>
      <c r="CG11" s="1">
        <v>33</v>
      </c>
      <c r="CI11" s="1">
        <f t="shared" ca="1" si="24"/>
        <v>2005</v>
      </c>
      <c r="CJ11" s="1" t="str">
        <f t="shared" si="25"/>
        <v>Q1</v>
      </c>
      <c r="CK11" s="1" t="str">
        <f t="shared" ca="1" si="12"/>
        <v>05</v>
      </c>
      <c r="CL11" s="1" t="str">
        <f t="shared" ca="1" si="13"/>
        <v>Q1 05</v>
      </c>
      <c r="CM11" s="1">
        <f ca="1">OFFSET('Input data (2)'!AJ$126,'Input data (2)'!$BL$1-'Output data - DO NOT TOUCH (2)'!$CG11,0)/1000</f>
        <v>10.089</v>
      </c>
      <c r="CN11" s="1">
        <f ca="1">OFFSET('Input data (2)'!AK$126,'Input data (2)'!$BL$1-'Output data - DO NOT TOUCH (2)'!$CG11,0)/1000</f>
        <v>3.3620000000000001</v>
      </c>
      <c r="CO11" s="1">
        <f ca="1">OFFSET('Input data (2)'!AL$126,'Input data (2)'!$BL$1-'Output data - DO NOT TOUCH (2)'!$CG11,0)/1000</f>
        <v>13.451000000000001</v>
      </c>
      <c r="CP11" s="1"/>
      <c r="CQ11" s="1">
        <f ca="1">OFFSET('Input data (2)'!AG$126,'Input data (2)'!$BL$1-'Output data - DO NOT TOUCH (2)'!$CG11,0)/1000</f>
        <v>1.1819999999999999</v>
      </c>
      <c r="CR11" s="1">
        <f ca="1">OFFSET('Input data (2)'!AH$126,'Input data (2)'!$BL$1-'Output data - DO NOT TOUCH (2)'!$CG11,0)/1000</f>
        <v>1.8540000000000001</v>
      </c>
      <c r="CS11" s="1">
        <f ca="1">OFFSET('Input data (2)'!AI$126,'Input data (2)'!$BL$1-'Output data - DO NOT TOUCH (2)'!$CG11,0)/1000</f>
        <v>3.036</v>
      </c>
      <c r="CT11" s="1"/>
      <c r="CU11" s="1">
        <f ca="1">OFFSET('Input data (2)'!L$126,'Input data (2)'!$BL$1-'Output data - DO NOT TOUCH (2)'!$CG11,0)</f>
        <v>114</v>
      </c>
      <c r="CV11" s="1">
        <f ca="1">OFFSET('Input data (2)'!M$126,'Input data (2)'!$BL$1-'Output data - DO NOT TOUCH (2)'!$CG11,0)</f>
        <v>0</v>
      </c>
      <c r="CW11" s="67">
        <f ca="1">OFFSET('Input data (2)'!N$126,'Input data (2)'!$BL$1-'Output data - DO NOT TOUCH (2)'!$CG11,0)</f>
        <v>489</v>
      </c>
      <c r="CX11" s="1">
        <f ca="1">OFFSET('Input data (2)'!P$126,'Input data (2)'!$BL$1-'Output data - DO NOT TOUCH (2)'!$CG11,0)</f>
        <v>179</v>
      </c>
      <c r="CY11" s="1"/>
      <c r="CZ11" s="1">
        <f ca="1">OFFSET('Input data (2)'!AY$126,'Input data (2)'!$BL$1-'Output data - DO NOT TOUCH (2)'!$CG11,0)/1000</f>
        <v>0.90800000000000003</v>
      </c>
      <c r="DA11" s="1">
        <f ca="1">OFFSET('Input data (2)'!BA$126,'Input data (2)'!$BL$1-'Output data - DO NOT TOUCH (2)'!$CG11,0)/1000</f>
        <v>1.554</v>
      </c>
      <c r="DB11" s="1">
        <f ca="1">OFFSET('Input data (2)'!BB$126,'Input data (2)'!$BL$1-'Output data - DO NOT TOUCH (2)'!$CG11,0)/1000</f>
        <v>2.4620000000000002</v>
      </c>
      <c r="DD11" s="1">
        <f ca="1">OFFSET('Input data (2)'!AN$126,'Input data (2)'!$BL$1-'Output data - DO NOT TOUCH (2)'!$CG11,0)</f>
        <v>103</v>
      </c>
      <c r="DE11" s="1">
        <f ca="1">OFFSET('Input data (2)'!AO$126,'Input data (2)'!$BL$1-'Output data - DO NOT TOUCH (2)'!$CG11,0)</f>
        <v>37</v>
      </c>
      <c r="DF11" s="1">
        <f ca="1">OFFSET('Input data (2)'!AP$126,'Input data (2)'!$BL$1-'Output data - DO NOT TOUCH (2)'!$CG11,0)</f>
        <v>140</v>
      </c>
      <c r="DG11" s="1"/>
      <c r="DH11" s="1">
        <f ca="1">OFFSET('Input data (2)'!AU$126,'Input data (2)'!$BL$1-'Output data - DO NOT TOUCH (2)'!$CG11,0)</f>
        <v>27</v>
      </c>
      <c r="DI11" s="1">
        <f ca="1">OFFSET('Input data (2)'!AV$126,'Input data (2)'!$BL$1-'Output data - DO NOT TOUCH (2)'!$CG11,0)</f>
        <v>0</v>
      </c>
      <c r="DJ11" s="1">
        <f ca="1">OFFSET('Input data (2)'!AW$126,'Input data (2)'!$BL$1-'Output data - DO NOT TOUCH (2)'!$CG11,0)</f>
        <v>8</v>
      </c>
      <c r="DK11" s="1">
        <f ca="1">OFFSET('Input data (2)'!AX$126,'Input data (2)'!$BL$1-'Output data - DO NOT TOUCH (2)'!$CG11,0)</f>
        <v>1</v>
      </c>
      <c r="DM11" s="1">
        <f ca="1">OFFSET('Input data (2)'!BI$126,'Input data (2)'!$BL$1-'Output data - DO NOT TOUCH (2)'!$CG11,0)</f>
        <v>174</v>
      </c>
      <c r="DN11" s="1">
        <f ca="1">OFFSET('Input data (2)'!BJ$126,'Input data (2)'!$BL$1-'Output data - DO NOT TOUCH (2)'!$CG11,0)</f>
        <v>128</v>
      </c>
      <c r="DO11" s="1">
        <f ca="1">OFFSET('Input data (2)'!BL$126,'Input data (2)'!$BL$1-'Output data - DO NOT TOUCH (2)'!$CG11,0)</f>
        <v>302</v>
      </c>
      <c r="DQ11" s="1">
        <f ca="1">OFFSET('Input data (2)'!BD$126,'Input data (2)'!$BL$1-'Output data - DO NOT TOUCH (2)'!$CG11,0)</f>
        <v>15</v>
      </c>
      <c r="DR11" s="1">
        <f ca="1">OFFSET('Input data (2)'!BE$126,'Input data (2)'!$BL$1-'Output data - DO NOT TOUCH (2)'!$CG11,0)</f>
        <v>14</v>
      </c>
      <c r="DS11" s="1">
        <f ca="1">OFFSET('Input data (2)'!BF$126,'Input data (2)'!$BL$1-'Output data - DO NOT TOUCH (2)'!$CG11,0)</f>
        <v>29</v>
      </c>
      <c r="DU11" s="1">
        <f ca="1">OFFSET('Input data (2)'!B$126,'Input data (2)'!$BL$1-'Output data - DO NOT TOUCH (2)'!$CG11-1,0)</f>
        <v>2004</v>
      </c>
      <c r="DV11" s="1" t="str">
        <f ca="1">OFFSET('Input data (2)'!C$126,'Input data (2)'!$BL$1-'Output data - DO NOT TOUCH (2)'!$CG11-1,0)</f>
        <v>Q4</v>
      </c>
      <c r="DW11" s="1" t="str">
        <f t="shared" ca="1" si="14"/>
        <v>04</v>
      </c>
      <c r="DX11" s="1" t="str">
        <f t="shared" ca="1" si="15"/>
        <v>Q4 04</v>
      </c>
      <c r="DY11" s="1">
        <f ca="1">OFFSET('Input data (2)'!W$126,'Input data (2)'!$BL$1-'Output data - DO NOT TOUCH (2)'!$CG11-1,0)/1000</f>
        <v>2.3719999999999999</v>
      </c>
      <c r="DZ11" s="1">
        <f ca="1">OFFSET('Input data (2)'!Y$126,'Input data (2)'!$BL$1-'Output data - DO NOT TOUCH (2)'!$CG11-1,0)/1000</f>
        <v>6.6269999999999998</v>
      </c>
      <c r="EA11" s="1">
        <f ca="1">OFFSET('Input data (2)'!Q$126,'Input data (2)'!$BL$1-'Output data - DO NOT TOUCH (2)'!$CG11-1,0)/1000</f>
        <v>8.9990000000000006</v>
      </c>
      <c r="EC11" s="3" t="str">
        <f t="shared" ca="1" si="16"/>
        <v>Q1 13</v>
      </c>
      <c r="ED11" s="68" t="e">
        <f t="shared" ca="1" si="17"/>
        <v>#VALUE!</v>
      </c>
      <c r="EE11" s="68" t="e">
        <f t="shared" ca="1" si="18"/>
        <v>#VALUE!</v>
      </c>
      <c r="EF11" s="68" t="e">
        <f t="shared" ca="1" si="19"/>
        <v>#VALUE!</v>
      </c>
      <c r="EH11" s="68">
        <f t="shared" ca="1" si="20"/>
        <v>2.506774537924406</v>
      </c>
      <c r="EI11" s="68">
        <f t="shared" ca="1" si="21"/>
        <v>-8.3071032827049507</v>
      </c>
      <c r="EJ11" s="68">
        <f t="shared" ca="1" si="22"/>
        <v>-5.8003287447805452</v>
      </c>
    </row>
    <row r="12" spans="1:140" x14ac:dyDescent="0.15">
      <c r="A12" s="1">
        <v>32</v>
      </c>
      <c r="B12" s="1">
        <v>33</v>
      </c>
      <c r="C12" s="1">
        <v>34</v>
      </c>
      <c r="D12" s="1">
        <v>31</v>
      </c>
      <c r="F12" s="1">
        <f t="shared" si="23"/>
        <v>2011</v>
      </c>
      <c r="H12" s="1">
        <f t="shared" si="0"/>
        <v>16886</v>
      </c>
      <c r="I12" s="1">
        <f t="shared" si="0"/>
        <v>5003</v>
      </c>
      <c r="J12" s="1">
        <f t="shared" si="0"/>
        <v>11883</v>
      </c>
      <c r="O12" s="119">
        <f t="shared" ca="1" si="1"/>
        <v>1127</v>
      </c>
      <c r="Q12" s="1">
        <f t="shared" ca="1" si="2"/>
        <v>119941</v>
      </c>
      <c r="R12" s="1">
        <f t="shared" ca="1" si="2"/>
        <v>41876</v>
      </c>
      <c r="S12" s="1">
        <f t="shared" ca="1" si="2"/>
        <v>29009</v>
      </c>
      <c r="T12" s="1">
        <f t="shared" ca="1" si="2"/>
        <v>49056</v>
      </c>
      <c r="Y12" s="1">
        <f t="shared" ca="1" si="3"/>
        <v>41876</v>
      </c>
      <c r="Z12" s="1">
        <f t="shared" ca="1" si="3"/>
        <v>34073</v>
      </c>
      <c r="AB12" s="1">
        <f t="shared" ca="1" si="4"/>
        <v>7803</v>
      </c>
      <c r="AD12" s="1">
        <f t="shared" ca="1" si="5"/>
        <v>41876</v>
      </c>
      <c r="AE12" s="1">
        <f t="shared" ca="1" si="5"/>
        <v>8893</v>
      </c>
      <c r="AG12" s="1">
        <f t="shared" ca="1" si="6"/>
        <v>32983</v>
      </c>
      <c r="AJ12" s="124">
        <f t="shared" ca="1" si="7"/>
        <v>1477</v>
      </c>
      <c r="AK12" s="124">
        <f t="shared" ca="1" si="7"/>
        <v>10</v>
      </c>
      <c r="AL12" s="124">
        <f t="shared" ca="1" si="7"/>
        <v>1467</v>
      </c>
      <c r="AW12" s="1">
        <f t="shared" ca="1" si="8"/>
        <v>1397</v>
      </c>
      <c r="AX12" s="1">
        <f t="shared" ca="1" si="8"/>
        <v>0</v>
      </c>
      <c r="AY12" s="1">
        <f t="shared" ca="1" si="8"/>
        <v>2808</v>
      </c>
      <c r="AZ12" s="1">
        <f t="shared" ca="1" si="8"/>
        <v>767</v>
      </c>
      <c r="BB12" s="1">
        <f t="shared" ca="1" si="9"/>
        <v>19650</v>
      </c>
      <c r="BC12" s="1">
        <f t="shared" ca="1" si="9"/>
        <v>11128</v>
      </c>
      <c r="BD12" s="1">
        <f t="shared" ca="1" si="9"/>
        <v>4812</v>
      </c>
      <c r="BE12" s="1">
        <f t="shared" ca="1" si="9"/>
        <v>8522</v>
      </c>
      <c r="BF12" s="1">
        <f t="shared" ca="1" si="9"/>
        <v>1237</v>
      </c>
      <c r="BG12" s="1">
        <f t="shared" ca="1" si="9"/>
        <v>918</v>
      </c>
      <c r="BH12" s="1">
        <f t="shared" ca="1" si="9"/>
        <v>319</v>
      </c>
      <c r="BJ12" s="1">
        <f t="shared" ca="1" si="10"/>
        <v>43</v>
      </c>
      <c r="BK12" s="1">
        <f t="shared" ca="1" si="10"/>
        <v>0</v>
      </c>
      <c r="BL12" s="1">
        <f t="shared" ca="1" si="10"/>
        <v>236</v>
      </c>
      <c r="BM12" s="1">
        <f t="shared" ca="1" si="10"/>
        <v>14</v>
      </c>
      <c r="BO12" s="1">
        <f t="shared" ca="1" si="11"/>
        <v>2839</v>
      </c>
      <c r="BP12" s="1">
        <f t="shared" ca="1" si="11"/>
        <v>1615</v>
      </c>
      <c r="BQ12" s="1">
        <f t="shared" ca="1" si="11"/>
        <v>112</v>
      </c>
      <c r="BR12" s="1">
        <f t="shared" ca="1" si="11"/>
        <v>1112</v>
      </c>
      <c r="BS12" s="1">
        <f t="shared" ca="1" si="11"/>
        <v>344</v>
      </c>
      <c r="BT12" s="1">
        <f t="shared" ca="1" si="11"/>
        <v>208</v>
      </c>
      <c r="BU12" s="1">
        <f t="shared" ca="1" si="11"/>
        <v>136</v>
      </c>
      <c r="CG12" s="1">
        <v>32</v>
      </c>
      <c r="CI12" s="1">
        <f t="shared" si="24"/>
        <v>2005</v>
      </c>
      <c r="CJ12" s="1" t="str">
        <f t="shared" si="25"/>
        <v>Q2</v>
      </c>
      <c r="CK12" s="1" t="str">
        <f t="shared" si="12"/>
        <v>05</v>
      </c>
      <c r="CL12" s="1" t="str">
        <f t="shared" si="13"/>
        <v>Q2 05</v>
      </c>
      <c r="CM12" s="1">
        <f ca="1">OFFSET('Input data (2)'!AJ$126,'Input data (2)'!$BL$1-'Output data - DO NOT TOUCH (2)'!$CG12,0)/1000</f>
        <v>11.423999999999999</v>
      </c>
      <c r="CN12" s="1">
        <f ca="1">OFFSET('Input data (2)'!AK$126,'Input data (2)'!$BL$1-'Output data - DO NOT TOUCH (2)'!$CG12,0)/1000</f>
        <v>4.4589999999999996</v>
      </c>
      <c r="CO12" s="1">
        <f ca="1">OFFSET('Input data (2)'!AL$126,'Input data (2)'!$BL$1-'Output data - DO NOT TOUCH (2)'!$CG12,0)/1000</f>
        <v>15.882999999999999</v>
      </c>
      <c r="CP12" s="1"/>
      <c r="CQ12" s="1">
        <f ca="1">OFFSET('Input data (2)'!AG$126,'Input data (2)'!$BL$1-'Output data - DO NOT TOUCH (2)'!$CG12,0)/1000</f>
        <v>1.27</v>
      </c>
      <c r="CR12" s="1">
        <f ca="1">OFFSET('Input data (2)'!AH$126,'Input data (2)'!$BL$1-'Output data - DO NOT TOUCH (2)'!$CG12,0)/1000</f>
        <v>1.96</v>
      </c>
      <c r="CS12" s="1">
        <f ca="1">OFFSET('Input data (2)'!AI$126,'Input data (2)'!$BL$1-'Output data - DO NOT TOUCH (2)'!$CG12,0)/1000</f>
        <v>3.23</v>
      </c>
      <c r="CT12" s="1"/>
      <c r="CU12" s="1">
        <f ca="1">OFFSET('Input data (2)'!L$126,'Input data (2)'!$BL$1-'Output data - DO NOT TOUCH (2)'!$CG12,0)</f>
        <v>167</v>
      </c>
      <c r="CV12" s="1">
        <f ca="1">OFFSET('Input data (2)'!M$126,'Input data (2)'!$BL$1-'Output data - DO NOT TOUCH (2)'!$CG12,0)</f>
        <v>4</v>
      </c>
      <c r="CW12" s="67">
        <f ca="1">OFFSET('Input data (2)'!N$126,'Input data (2)'!$BL$1-'Output data - DO NOT TOUCH (2)'!$CG12,0)</f>
        <v>568</v>
      </c>
      <c r="CX12" s="1">
        <f ca="1">OFFSET('Input data (2)'!P$126,'Input data (2)'!$BL$1-'Output data - DO NOT TOUCH (2)'!$CG12,0)</f>
        <v>183</v>
      </c>
      <c r="CY12" s="1"/>
      <c r="CZ12" s="1">
        <f ca="1">OFFSET('Input data (2)'!AY$126,'Input data (2)'!$BL$1-'Output data - DO NOT TOUCH (2)'!$CG12,0)/1000</f>
        <v>1.3340000000000001</v>
      </c>
      <c r="DA12" s="1">
        <f ca="1">OFFSET('Input data (2)'!BA$126,'Input data (2)'!$BL$1-'Output data - DO NOT TOUCH (2)'!$CG12,0)/1000</f>
        <v>1.5229999999999999</v>
      </c>
      <c r="DB12" s="1">
        <f ca="1">OFFSET('Input data (2)'!BB$126,'Input data (2)'!$BL$1-'Output data - DO NOT TOUCH (2)'!$CG12,0)/1000</f>
        <v>2.8570000000000002</v>
      </c>
      <c r="DD12" s="1">
        <f ca="1">OFFSET('Input data (2)'!AN$126,'Input data (2)'!$BL$1-'Output data - DO NOT TOUCH (2)'!$CG12,0)</f>
        <v>120</v>
      </c>
      <c r="DE12" s="1">
        <f ca="1">OFFSET('Input data (2)'!AO$126,'Input data (2)'!$BL$1-'Output data - DO NOT TOUCH (2)'!$CG12,0)</f>
        <v>39</v>
      </c>
      <c r="DF12" s="1">
        <f ca="1">OFFSET('Input data (2)'!AP$126,'Input data (2)'!$BL$1-'Output data - DO NOT TOUCH (2)'!$CG12,0)</f>
        <v>159</v>
      </c>
      <c r="DG12" s="1"/>
      <c r="DH12" s="1">
        <f ca="1">OFFSET('Input data (2)'!AU$126,'Input data (2)'!$BL$1-'Output data - DO NOT TOUCH (2)'!$CG12,0)</f>
        <v>9</v>
      </c>
      <c r="DI12" s="1">
        <f ca="1">OFFSET('Input data (2)'!AV$126,'Input data (2)'!$BL$1-'Output data - DO NOT TOUCH (2)'!$CG12,0)</f>
        <v>0</v>
      </c>
      <c r="DJ12" s="1">
        <f ca="1">OFFSET('Input data (2)'!AW$126,'Input data (2)'!$BL$1-'Output data - DO NOT TOUCH (2)'!$CG12,0)</f>
        <v>7</v>
      </c>
      <c r="DK12" s="1">
        <f ca="1">OFFSET('Input data (2)'!AX$126,'Input data (2)'!$BL$1-'Output data - DO NOT TOUCH (2)'!$CG12,0)</f>
        <v>4</v>
      </c>
      <c r="DM12" s="1">
        <f ca="1">OFFSET('Input data (2)'!BI$126,'Input data (2)'!$BL$1-'Output data - DO NOT TOUCH (2)'!$CG12,0)</f>
        <v>241</v>
      </c>
      <c r="DN12" s="1">
        <f ca="1">OFFSET('Input data (2)'!BJ$126,'Input data (2)'!$BL$1-'Output data - DO NOT TOUCH (2)'!$CG12,0)</f>
        <v>197</v>
      </c>
      <c r="DO12" s="1">
        <f ca="1">OFFSET('Input data (2)'!BL$126,'Input data (2)'!$BL$1-'Output data - DO NOT TOUCH (2)'!$CG12,0)</f>
        <v>438</v>
      </c>
      <c r="DQ12" s="1">
        <f ca="1">OFFSET('Input data (2)'!BD$126,'Input data (2)'!$BL$1-'Output data - DO NOT TOUCH (2)'!$CG12,0)</f>
        <v>28</v>
      </c>
      <c r="DR12" s="1">
        <f ca="1">OFFSET('Input data (2)'!BE$126,'Input data (2)'!$BL$1-'Output data - DO NOT TOUCH (2)'!$CG12,0)</f>
        <v>19</v>
      </c>
      <c r="DS12" s="1">
        <f ca="1">OFFSET('Input data (2)'!BF$126,'Input data (2)'!$BL$1-'Output data - DO NOT TOUCH (2)'!$CG12,0)</f>
        <v>47</v>
      </c>
      <c r="DU12" s="1">
        <f ca="1">OFFSET('Input data (2)'!B$126,'Input data (2)'!$BL$1-'Output data - DO NOT TOUCH (2)'!$CG12-1,0)</f>
        <v>2005</v>
      </c>
      <c r="DV12" s="1" t="str">
        <f ca="1">OFFSET('Input data (2)'!C$126,'Input data (2)'!$BL$1-'Output data - DO NOT TOUCH (2)'!$CG12-1,0)</f>
        <v>Q1</v>
      </c>
      <c r="DW12" s="1" t="str">
        <f t="shared" ca="1" si="14"/>
        <v>05</v>
      </c>
      <c r="DX12" s="1" t="str">
        <f t="shared" ca="1" si="15"/>
        <v>Q1 05</v>
      </c>
      <c r="DY12" s="1">
        <f ca="1">OFFSET('Input data (2)'!W$126,'Input data (2)'!$BL$1-'Output data - DO NOT TOUCH (2)'!$CG12-1,0)/1000</f>
        <v>2.4460000000000002</v>
      </c>
      <c r="DZ12" s="1">
        <f ca="1">OFFSET('Input data (2)'!Y$126,'Input data (2)'!$BL$1-'Output data - DO NOT TOUCH (2)'!$CG12-1,0)/1000</f>
        <v>7.742</v>
      </c>
      <c r="EA12" s="1">
        <f ca="1">OFFSET('Input data (2)'!Q$126,'Input data (2)'!$BL$1-'Output data - DO NOT TOUCH (2)'!$CG12-1,0)/1000</f>
        <v>10.188000000000001</v>
      </c>
      <c r="EC12" s="3" t="str">
        <f t="shared" si="16"/>
        <v>Q2 13</v>
      </c>
      <c r="ED12" s="68" t="e">
        <f t="shared" ca="1" si="17"/>
        <v>#VALUE!</v>
      </c>
      <c r="EE12" s="68" t="e">
        <f t="shared" ca="1" si="18"/>
        <v>#VALUE!</v>
      </c>
      <c r="EF12" s="68" t="e">
        <f t="shared" ca="1" si="19"/>
        <v>#VALUE!</v>
      </c>
      <c r="EH12" s="68">
        <f t="shared" ca="1" si="20"/>
        <v>-1.8834952646352012</v>
      </c>
      <c r="EI12" s="68">
        <f t="shared" ca="1" si="21"/>
        <v>12.342342602729586</v>
      </c>
      <c r="EJ12" s="68">
        <f t="shared" ca="1" si="22"/>
        <v>10.458847338094385</v>
      </c>
    </row>
    <row r="13" spans="1:140" x14ac:dyDescent="0.15">
      <c r="A13" s="1">
        <v>31</v>
      </c>
      <c r="B13" s="1">
        <v>32</v>
      </c>
      <c r="C13" s="1">
        <v>33</v>
      </c>
      <c r="D13" s="1">
        <v>30</v>
      </c>
      <c r="F13" s="1">
        <f t="shared" si="23"/>
        <v>2012</v>
      </c>
      <c r="H13" s="1">
        <f t="shared" si="0"/>
        <v>16156</v>
      </c>
      <c r="I13" s="1">
        <f t="shared" si="0"/>
        <v>4261</v>
      </c>
      <c r="J13" s="1">
        <f t="shared" si="0"/>
        <v>11895</v>
      </c>
      <c r="O13" s="119">
        <f t="shared" ca="1" si="1"/>
        <v>1006</v>
      </c>
      <c r="Q13" s="1">
        <f t="shared" ca="1" si="2"/>
        <v>109661</v>
      </c>
      <c r="R13" s="1">
        <f t="shared" ca="1" si="2"/>
        <v>31788</v>
      </c>
      <c r="S13" s="1">
        <f t="shared" ca="1" si="2"/>
        <v>31179</v>
      </c>
      <c r="T13" s="1">
        <f t="shared" ca="1" si="2"/>
        <v>46694</v>
      </c>
      <c r="Y13" s="1">
        <f t="shared" ca="1" si="3"/>
        <v>31788</v>
      </c>
      <c r="Z13" s="1">
        <f t="shared" ca="1" si="3"/>
        <v>25192</v>
      </c>
      <c r="AB13" s="1">
        <f t="shared" ca="1" si="4"/>
        <v>6596</v>
      </c>
      <c r="AD13" s="1">
        <f t="shared" ca="1" si="5"/>
        <v>31788</v>
      </c>
      <c r="AE13" s="1">
        <f t="shared" ca="1" si="5"/>
        <v>7723</v>
      </c>
      <c r="AG13" s="1">
        <f t="shared" ca="1" si="6"/>
        <v>24065</v>
      </c>
      <c r="AJ13" s="124">
        <f t="shared" ca="1" si="7"/>
        <v>0</v>
      </c>
      <c r="AK13" s="124">
        <f t="shared" ca="1" si="7"/>
        <v>0</v>
      </c>
      <c r="AL13" s="124">
        <f t="shared" ca="1" si="7"/>
        <v>0</v>
      </c>
      <c r="AW13" s="1">
        <f t="shared" ca="1" si="8"/>
        <v>1222</v>
      </c>
      <c r="AX13" s="1">
        <f t="shared" ca="1" si="8"/>
        <v>0</v>
      </c>
      <c r="AY13" s="1">
        <f t="shared" ca="1" si="8"/>
        <v>2532</v>
      </c>
      <c r="AZ13" s="1">
        <f t="shared" ca="1" si="8"/>
        <v>839</v>
      </c>
      <c r="BB13" s="1">
        <f t="shared" ca="1" si="9"/>
        <v>18402</v>
      </c>
      <c r="BC13" s="1">
        <f t="shared" ca="1" si="9"/>
        <v>9630</v>
      </c>
      <c r="BD13" s="1">
        <f t="shared" ca="1" si="9"/>
        <v>3883</v>
      </c>
      <c r="BE13" s="1">
        <f t="shared" ca="1" si="9"/>
        <v>8772</v>
      </c>
      <c r="BF13" s="1">
        <f t="shared" ca="1" si="9"/>
        <v>1199</v>
      </c>
      <c r="BG13" s="1">
        <f t="shared" ca="1" si="9"/>
        <v>926</v>
      </c>
      <c r="BH13" s="1">
        <f t="shared" ca="1" si="9"/>
        <v>273</v>
      </c>
      <c r="BJ13" s="1">
        <f t="shared" ca="1" si="10"/>
        <v>31</v>
      </c>
      <c r="BK13" s="1">
        <f t="shared" ca="1" si="10"/>
        <v>0</v>
      </c>
      <c r="BL13" s="1">
        <f t="shared" ca="1" si="10"/>
        <v>193</v>
      </c>
      <c r="BM13" s="1">
        <f t="shared" ca="1" si="10"/>
        <v>25</v>
      </c>
      <c r="BO13" s="1">
        <f t="shared" ca="1" si="11"/>
        <v>3189</v>
      </c>
      <c r="BP13" s="1">
        <f t="shared" ca="1" si="11"/>
        <v>1452</v>
      </c>
      <c r="BQ13" s="1">
        <f t="shared" ca="1" si="11"/>
        <v>506</v>
      </c>
      <c r="BR13" s="1">
        <f t="shared" ca="1" si="11"/>
        <v>1231</v>
      </c>
      <c r="BS13" s="1">
        <f t="shared" ca="1" si="11"/>
        <v>410</v>
      </c>
      <c r="BT13" s="1">
        <f t="shared" ca="1" si="11"/>
        <v>252</v>
      </c>
      <c r="BU13" s="1">
        <f t="shared" ca="1" si="11"/>
        <v>158</v>
      </c>
      <c r="CG13" s="1">
        <v>31</v>
      </c>
      <c r="CI13" s="1">
        <f t="shared" ca="1" si="24"/>
        <v>2005</v>
      </c>
      <c r="CJ13" s="1" t="str">
        <f t="shared" si="25"/>
        <v>Q3</v>
      </c>
      <c r="CK13" s="1" t="str">
        <f t="shared" ca="1" si="12"/>
        <v>05</v>
      </c>
      <c r="CL13" s="1" t="str">
        <f t="shared" ca="1" si="13"/>
        <v>Q3 05</v>
      </c>
      <c r="CM13" s="1">
        <f ca="1">OFFSET('Input data (2)'!AJ$126,'Input data (2)'!$BL$1-'Output data - DO NOT TOUCH (2)'!$CG13,0)/1000</f>
        <v>12.382999999999999</v>
      </c>
      <c r="CN13" s="1">
        <f ca="1">OFFSET('Input data (2)'!AK$126,'Input data (2)'!$BL$1-'Output data - DO NOT TOUCH (2)'!$CG13,0)/1000</f>
        <v>5.5149999999999997</v>
      </c>
      <c r="CO13" s="1">
        <f ca="1">OFFSET('Input data (2)'!AL$126,'Input data (2)'!$BL$1-'Output data - DO NOT TOUCH (2)'!$CG13,0)/1000</f>
        <v>17.898</v>
      </c>
      <c r="CP13" s="1"/>
      <c r="CQ13" s="1">
        <f ca="1">OFFSET('Input data (2)'!AG$126,'Input data (2)'!$BL$1-'Output data - DO NOT TOUCH (2)'!$CG13,0)/1000</f>
        <v>1.5269999999999999</v>
      </c>
      <c r="CR13" s="1">
        <f ca="1">OFFSET('Input data (2)'!AH$126,'Input data (2)'!$BL$1-'Output data - DO NOT TOUCH (2)'!$CG13,0)/1000</f>
        <v>1.881</v>
      </c>
      <c r="CS13" s="1">
        <f ca="1">OFFSET('Input data (2)'!AI$126,'Input data (2)'!$BL$1-'Output data - DO NOT TOUCH (2)'!$CG13,0)/1000</f>
        <v>3.4079999999999999</v>
      </c>
      <c r="CT13" s="1"/>
      <c r="CU13" s="1">
        <f ca="1">OFFSET('Input data (2)'!L$126,'Input data (2)'!$BL$1-'Output data - DO NOT TOUCH (2)'!$CG13,0)</f>
        <v>170</v>
      </c>
      <c r="CV13" s="1">
        <f ca="1">OFFSET('Input data (2)'!M$126,'Input data (2)'!$BL$1-'Output data - DO NOT TOUCH (2)'!$CG13,0)</f>
        <v>0</v>
      </c>
      <c r="CW13" s="67">
        <f ca="1">OFFSET('Input data (2)'!N$126,'Input data (2)'!$BL$1-'Output data - DO NOT TOUCH (2)'!$CG13,0)</f>
        <v>620</v>
      </c>
      <c r="CX13" s="1">
        <f ca="1">OFFSET('Input data (2)'!P$126,'Input data (2)'!$BL$1-'Output data - DO NOT TOUCH (2)'!$CG13,0)</f>
        <v>130</v>
      </c>
      <c r="CY13" s="1"/>
      <c r="CZ13" s="1">
        <f ca="1">OFFSET('Input data (2)'!AY$126,'Input data (2)'!$BL$1-'Output data - DO NOT TOUCH (2)'!$CG13,0)/1000</f>
        <v>1.496</v>
      </c>
      <c r="DA13" s="1">
        <f ca="1">OFFSET('Input data (2)'!BA$126,'Input data (2)'!$BL$1-'Output data - DO NOT TOUCH (2)'!$CG13,0)/1000</f>
        <v>2.1320000000000001</v>
      </c>
      <c r="DB13" s="1">
        <f ca="1">OFFSET('Input data (2)'!BB$126,'Input data (2)'!$BL$1-'Output data - DO NOT TOUCH (2)'!$CG13,0)/1000</f>
        <v>3.6280000000000001</v>
      </c>
      <c r="DD13" s="1">
        <f ca="1">OFFSET('Input data (2)'!AN$126,'Input data (2)'!$BL$1-'Output data - DO NOT TOUCH (2)'!$CG13,0)</f>
        <v>115</v>
      </c>
      <c r="DE13" s="1">
        <f ca="1">OFFSET('Input data (2)'!AO$126,'Input data (2)'!$BL$1-'Output data - DO NOT TOUCH (2)'!$CG13,0)</f>
        <v>36</v>
      </c>
      <c r="DF13" s="1">
        <f ca="1">OFFSET('Input data (2)'!AP$126,'Input data (2)'!$BL$1-'Output data - DO NOT TOUCH (2)'!$CG13,0)</f>
        <v>151</v>
      </c>
      <c r="DG13" s="1"/>
      <c r="DH13" s="1">
        <f ca="1">OFFSET('Input data (2)'!AU$126,'Input data (2)'!$BL$1-'Output data - DO NOT TOUCH (2)'!$CG13,0)</f>
        <v>12</v>
      </c>
      <c r="DI13" s="1">
        <f ca="1">OFFSET('Input data (2)'!AV$126,'Input data (2)'!$BL$1-'Output data - DO NOT TOUCH (2)'!$CG13,0)</f>
        <v>0</v>
      </c>
      <c r="DJ13" s="1">
        <f ca="1">OFFSET('Input data (2)'!AW$126,'Input data (2)'!$BL$1-'Output data - DO NOT TOUCH (2)'!$CG13,0)</f>
        <v>19</v>
      </c>
      <c r="DK13" s="1">
        <f ca="1">OFFSET('Input data (2)'!AX$126,'Input data (2)'!$BL$1-'Output data - DO NOT TOUCH (2)'!$CG13,0)</f>
        <v>2</v>
      </c>
      <c r="DM13" s="1">
        <f ca="1">OFFSET('Input data (2)'!BI$126,'Input data (2)'!$BL$1-'Output data - DO NOT TOUCH (2)'!$CG13,0)</f>
        <v>193</v>
      </c>
      <c r="DN13" s="1">
        <f ca="1">OFFSET('Input data (2)'!BJ$126,'Input data (2)'!$BL$1-'Output data - DO NOT TOUCH (2)'!$CG13,0)</f>
        <v>127</v>
      </c>
      <c r="DO13" s="1">
        <f ca="1">OFFSET('Input data (2)'!BL$126,'Input data (2)'!$BL$1-'Output data - DO NOT TOUCH (2)'!$CG13,0)</f>
        <v>320</v>
      </c>
      <c r="DQ13" s="1">
        <f ca="1">OFFSET('Input data (2)'!BD$126,'Input data (2)'!$BL$1-'Output data - DO NOT TOUCH (2)'!$CG13,0)</f>
        <v>19</v>
      </c>
      <c r="DR13" s="1">
        <f ca="1">OFFSET('Input data (2)'!BE$126,'Input data (2)'!$BL$1-'Output data - DO NOT TOUCH (2)'!$CG13,0)</f>
        <v>12</v>
      </c>
      <c r="DS13" s="1">
        <f ca="1">OFFSET('Input data (2)'!BF$126,'Input data (2)'!$BL$1-'Output data - DO NOT TOUCH (2)'!$CG13,0)</f>
        <v>31</v>
      </c>
      <c r="DU13" s="1">
        <f ca="1">OFFSET('Input data (2)'!B$126,'Input data (2)'!$BL$1-'Output data - DO NOT TOUCH (2)'!$CG13-1,0)</f>
        <v>2005</v>
      </c>
      <c r="DV13" s="1" t="str">
        <f ca="1">OFFSET('Input data (2)'!C$126,'Input data (2)'!$BL$1-'Output data - DO NOT TOUCH (2)'!$CG13-1,0)</f>
        <v>Q2</v>
      </c>
      <c r="DW13" s="1" t="str">
        <f t="shared" ca="1" si="14"/>
        <v>05</v>
      </c>
      <c r="DX13" s="1" t="str">
        <f t="shared" ca="1" si="15"/>
        <v>Q2 05</v>
      </c>
      <c r="DY13" s="1">
        <f ca="1">OFFSET('Input data (2)'!W$126,'Input data (2)'!$BL$1-'Output data - DO NOT TOUCH (2)'!$CG13-1,0)/1000</f>
        <v>2.835</v>
      </c>
      <c r="DZ13" s="1">
        <f ca="1">OFFSET('Input data (2)'!Y$126,'Input data (2)'!$BL$1-'Output data - DO NOT TOUCH (2)'!$CG13-1,0)/1000</f>
        <v>9.5030000000000001</v>
      </c>
      <c r="EA13" s="1">
        <f ca="1">OFFSET('Input data (2)'!Q$126,'Input data (2)'!$BL$1-'Output data - DO NOT TOUCH (2)'!$CG13-1,0)/1000</f>
        <v>12.337999999999999</v>
      </c>
      <c r="EF13" s="68"/>
      <c r="EH13" s="68"/>
      <c r="EJ13" s="68"/>
    </row>
    <row r="14" spans="1:140" x14ac:dyDescent="0.15">
      <c r="A14" s="1">
        <v>30</v>
      </c>
      <c r="B14" s="1">
        <v>31</v>
      </c>
      <c r="C14" s="1">
        <v>32</v>
      </c>
      <c r="D14" s="1">
        <v>29</v>
      </c>
      <c r="Q14" s="3"/>
      <c r="R14" s="3"/>
      <c r="S14" s="3"/>
      <c r="T14" s="3"/>
      <c r="U14" s="3"/>
      <c r="V14" s="3"/>
      <c r="W14" s="3"/>
      <c r="X14" s="3"/>
      <c r="Y14" s="3"/>
      <c r="Z14" s="3"/>
      <c r="AA14" s="3"/>
      <c r="AB14" s="3"/>
      <c r="AC14" s="3"/>
      <c r="AD14" s="3"/>
      <c r="AE14" s="3"/>
      <c r="AF14" s="3"/>
      <c r="AG14" s="3"/>
      <c r="AH14" s="3"/>
      <c r="AI14" s="3"/>
      <c r="AZ14" s="8"/>
      <c r="BA14" s="8"/>
      <c r="CG14" s="1">
        <v>30</v>
      </c>
      <c r="CI14" s="1">
        <f t="shared" ca="1" si="24"/>
        <v>2005</v>
      </c>
      <c r="CJ14" s="1" t="str">
        <f t="shared" si="25"/>
        <v>Q4</v>
      </c>
      <c r="CK14" s="1" t="str">
        <f t="shared" ca="1" si="12"/>
        <v>05</v>
      </c>
      <c r="CL14" s="1" t="str">
        <f t="shared" ca="1" si="13"/>
        <v>Q4 05</v>
      </c>
      <c r="CM14" s="1">
        <f ca="1">OFFSET('Input data (2)'!AJ$126,'Input data (2)'!$BL$1-'Output data - DO NOT TOUCH (2)'!$CG14,0)/1000</f>
        <v>13.395</v>
      </c>
      <c r="CN14" s="1">
        <f ca="1">OFFSET('Input data (2)'!AK$126,'Input data (2)'!$BL$1-'Output data - DO NOT TOUCH (2)'!$CG14,0)/1000</f>
        <v>6.9569999999999999</v>
      </c>
      <c r="CO14" s="1">
        <f ca="1">OFFSET('Input data (2)'!AL$126,'Input data (2)'!$BL$1-'Output data - DO NOT TOUCH (2)'!$CG14,0)/1000</f>
        <v>20.352</v>
      </c>
      <c r="CP14" s="1"/>
      <c r="CQ14" s="1">
        <f ca="1">OFFSET('Input data (2)'!AG$126,'Input data (2)'!$BL$1-'Output data - DO NOT TOUCH (2)'!$CG14,0)/1000</f>
        <v>1.254</v>
      </c>
      <c r="CR14" s="1">
        <f ca="1">OFFSET('Input data (2)'!AH$126,'Input data (2)'!$BL$1-'Output data - DO NOT TOUCH (2)'!$CG14,0)/1000</f>
        <v>1.966</v>
      </c>
      <c r="CS14" s="1">
        <f ca="1">OFFSET('Input data (2)'!AI$126,'Input data (2)'!$BL$1-'Output data - DO NOT TOUCH (2)'!$CG14,0)/1000</f>
        <v>3.22</v>
      </c>
      <c r="CT14" s="1"/>
      <c r="CU14" s="1">
        <f ca="1">OFFSET('Input data (2)'!L$126,'Input data (2)'!$BL$1-'Output data - DO NOT TOUCH (2)'!$CG14,0)</f>
        <v>139</v>
      </c>
      <c r="CV14" s="1">
        <f ca="1">OFFSET('Input data (2)'!M$126,'Input data (2)'!$BL$1-'Output data - DO NOT TOUCH (2)'!$CG14,0)</f>
        <v>0</v>
      </c>
      <c r="CW14" s="67">
        <f ca="1">OFFSET('Input data (2)'!N$126,'Input data (2)'!$BL$1-'Output data - DO NOT TOUCH (2)'!$CG14,0)</f>
        <v>580</v>
      </c>
      <c r="CX14" s="1">
        <f ca="1">OFFSET('Input data (2)'!P$126,'Input data (2)'!$BL$1-'Output data - DO NOT TOUCH (2)'!$CG14,0)</f>
        <v>112</v>
      </c>
      <c r="CY14" s="1"/>
      <c r="CZ14" s="1">
        <f ca="1">OFFSET('Input data (2)'!AY$126,'Input data (2)'!$BL$1-'Output data - DO NOT TOUCH (2)'!$CG14,0)/1000</f>
        <v>1.2949999999999999</v>
      </c>
      <c r="DA14" s="1">
        <f ca="1">OFFSET('Input data (2)'!BA$126,'Input data (2)'!$BL$1-'Output data - DO NOT TOUCH (2)'!$CG14,0)/1000</f>
        <v>1.655</v>
      </c>
      <c r="DB14" s="1">
        <f ca="1">OFFSET('Input data (2)'!BB$126,'Input data (2)'!$BL$1-'Output data - DO NOT TOUCH (2)'!$CG14,0)/1000</f>
        <v>2.95</v>
      </c>
      <c r="DD14" s="1">
        <f ca="1">OFFSET('Input data (2)'!AN$126,'Input data (2)'!$BL$1-'Output data - DO NOT TOUCH (2)'!$CG14,0)</f>
        <v>82</v>
      </c>
      <c r="DE14" s="1">
        <f ca="1">OFFSET('Input data (2)'!AO$126,'Input data (2)'!$BL$1-'Output data - DO NOT TOUCH (2)'!$CG14,0)</f>
        <v>37</v>
      </c>
      <c r="DF14" s="1">
        <f ca="1">OFFSET('Input data (2)'!AP$126,'Input data (2)'!$BL$1-'Output data - DO NOT TOUCH (2)'!$CG14,0)</f>
        <v>119</v>
      </c>
      <c r="DG14" s="1"/>
      <c r="DH14" s="1">
        <f ca="1">OFFSET('Input data (2)'!AU$126,'Input data (2)'!$BL$1-'Output data - DO NOT TOUCH (2)'!$CG14,0)</f>
        <v>8</v>
      </c>
      <c r="DI14" s="1">
        <f ca="1">OFFSET('Input data (2)'!AV$126,'Input data (2)'!$BL$1-'Output data - DO NOT TOUCH (2)'!$CG14,0)</f>
        <v>0</v>
      </c>
      <c r="DJ14" s="1">
        <f ca="1">OFFSET('Input data (2)'!AW$126,'Input data (2)'!$BL$1-'Output data - DO NOT TOUCH (2)'!$CG14,0)</f>
        <v>21</v>
      </c>
      <c r="DK14" s="1">
        <f ca="1">OFFSET('Input data (2)'!AX$126,'Input data (2)'!$BL$1-'Output data - DO NOT TOUCH (2)'!$CG14,0)</f>
        <v>1</v>
      </c>
      <c r="DM14" s="1">
        <f ca="1">OFFSET('Input data (2)'!BI$126,'Input data (2)'!$BL$1-'Output data - DO NOT TOUCH (2)'!$CG14,0)</f>
        <v>213</v>
      </c>
      <c r="DN14" s="1">
        <f ca="1">OFFSET('Input data (2)'!BJ$126,'Input data (2)'!$BL$1-'Output data - DO NOT TOUCH (2)'!$CG14,0)</f>
        <v>181</v>
      </c>
      <c r="DO14" s="1">
        <f ca="1">OFFSET('Input data (2)'!BL$126,'Input data (2)'!$BL$1-'Output data - DO NOT TOUCH (2)'!$CG14,0)</f>
        <v>394</v>
      </c>
      <c r="DQ14" s="1">
        <f ca="1">OFFSET('Input data (2)'!BD$126,'Input data (2)'!$BL$1-'Output data - DO NOT TOUCH (2)'!$CG14,0)</f>
        <v>23</v>
      </c>
      <c r="DR14" s="1">
        <f ca="1">OFFSET('Input data (2)'!BE$126,'Input data (2)'!$BL$1-'Output data - DO NOT TOUCH (2)'!$CG14,0)</f>
        <v>8</v>
      </c>
      <c r="DS14" s="1">
        <f ca="1">OFFSET('Input data (2)'!BF$126,'Input data (2)'!$BL$1-'Output data - DO NOT TOUCH (2)'!$CG14,0)</f>
        <v>31</v>
      </c>
      <c r="DU14" s="1">
        <f ca="1">OFFSET('Input data (2)'!B$126,'Input data (2)'!$BL$1-'Output data - DO NOT TOUCH (2)'!$CG14-1,0)</f>
        <v>2005</v>
      </c>
      <c r="DV14" s="1" t="str">
        <f ca="1">OFFSET('Input data (2)'!C$126,'Input data (2)'!$BL$1-'Output data - DO NOT TOUCH (2)'!$CG14-1,0)</f>
        <v>Q3</v>
      </c>
      <c r="DW14" s="1" t="str">
        <f t="shared" ca="1" si="14"/>
        <v>05</v>
      </c>
      <c r="DX14" s="1" t="str">
        <f t="shared" ca="1" si="15"/>
        <v>Q3 05</v>
      </c>
      <c r="DY14" s="1">
        <f ca="1">OFFSET('Input data (2)'!W$126,'Input data (2)'!$BL$1-'Output data - DO NOT TOUCH (2)'!$CG14-1,0)/1000</f>
        <v>2.85</v>
      </c>
      <c r="DZ14" s="1">
        <f ca="1">OFFSET('Input data (2)'!Y$126,'Input data (2)'!$BL$1-'Output data - DO NOT TOUCH (2)'!$CG14-1,0)/1000</f>
        <v>9.4060000000000006</v>
      </c>
      <c r="EA14" s="1">
        <f ca="1">OFFSET('Input data (2)'!Q$126,'Input data (2)'!$BL$1-'Output data - DO NOT TOUCH (2)'!$CG14-1,0)/1000</f>
        <v>12.256</v>
      </c>
      <c r="EC14" s="3" t="s">
        <v>85</v>
      </c>
      <c r="EF14" s="68"/>
      <c r="EH14" s="68"/>
      <c r="EJ14" s="68"/>
    </row>
    <row r="15" spans="1:140" x14ac:dyDescent="0.15">
      <c r="A15" s="1">
        <v>29</v>
      </c>
      <c r="B15" s="1">
        <v>30</v>
      </c>
      <c r="C15" s="1">
        <v>31</v>
      </c>
      <c r="D15" s="1">
        <v>28</v>
      </c>
      <c r="E15" s="1" t="str">
        <f>F15&amp;G15</f>
        <v>2003Q1</v>
      </c>
      <c r="F15" s="1">
        <f>F4</f>
        <v>2003</v>
      </c>
      <c r="G15" s="1" t="s">
        <v>1</v>
      </c>
      <c r="H15" s="1">
        <f>VLOOKUP($E15,'Input data (2)'!$A:$BL,'Output data - DO NOT TOUCH (2)'!H$71,FALSE)</f>
        <v>3797</v>
      </c>
      <c r="I15" s="1">
        <f>VLOOKUP($E15,'Input data (2)'!$A:$BL,'Output data - DO NOT TOUCH (2)'!I$71,FALSE)</f>
        <v>1585</v>
      </c>
      <c r="J15" s="1">
        <f>VLOOKUP($E15,'Input data (2)'!$A:$BL,'Output data - DO NOT TOUCH (2)'!J$71,FALSE)</f>
        <v>2212</v>
      </c>
      <c r="K15" s="1">
        <f>VLOOKUP($E15,'Input data (2)'!$A:$BL,'Output data - DO NOT TOUCH (2)'!K$71,FALSE)</f>
        <v>3724</v>
      </c>
      <c r="L15" s="1">
        <f>VLOOKUP($E15,'Input data (2)'!$A:$BL,'Output data - DO NOT TOUCH (2)'!L$71,FALSE)</f>
        <v>1550</v>
      </c>
      <c r="M15" s="1">
        <f>VLOOKUP($E15,'Input data (2)'!$A:$BL,'Output data - DO NOT TOUCH (2)'!M$71,FALSE)</f>
        <v>2174</v>
      </c>
      <c r="O15" s="119" t="str">
        <f ca="1">IF(AND('Input data (2)'!$C$2=4,$D4&gt;=0),OFFSET('Input data (2)'!O$126,'Input data (2)'!$BL$1-$D4,0),IF(AND('Input data (2)'!$C$2=3,$C4&gt;=0),OFFSET('Input data (2)'!O$126,'Input data (2)'!$BL$1-$C4,0),IF(AND('Input data (2)'!$C$2=2,$B4&gt;=0),OFFSET('Input data (2)'!O$126,'Input data (2)'!$BL$1-$B4,0),IF(AND('Input data (2)'!$C$2=1,$A4&gt;=0),OFFSET('Input data (2)'!O$126,'Input data (2)'!$BL$1-$A4,0),""))))</f>
        <v>:</v>
      </c>
      <c r="Q15" s="1">
        <f ca="1">IF(AND('Input data (2)'!$C$2=4,$D4&gt;=0),OFFSET('Input data (2)'!AC$126,'Input data (2)'!$BL$1-$D4,0),IF(AND('Input data (2)'!$C$2=3,$C4&gt;=0),OFFSET('Input data (2)'!AC$126,'Input data (2)'!$BL$1-$C4,0),IF(AND('Input data (2)'!$C$2=2,$B4&gt;=0),OFFSET('Input data (2)'!AC$126,'Input data (2)'!$BL$1-$B4,0),IF(AND('Input data (2)'!$C$2=1,$A4&gt;=0),OFFSET('Input data (2)'!AC$126,'Input data (2)'!$BL$1-$A4,0),""))))</f>
        <v>8426</v>
      </c>
      <c r="R15" s="1">
        <f ca="1">IF(AND('Input data (2)'!$C$2=4,$D4&gt;=0),OFFSET('Input data (2)'!Q$126,'Input data (2)'!$BL$1-$D4,0),IF(AND('Input data (2)'!$C$2=3,$C4&gt;=0),OFFSET('Input data (2)'!Q$126,'Input data (2)'!$BL$1-$C4,0),IF(AND('Input data (2)'!$C$2=2,$B4&gt;=0),OFFSET('Input data (2)'!Q$126,'Input data (2)'!$BL$1-$B4,0),IF(AND('Input data (2)'!$C$2=1,$A4&gt;=0),OFFSET('Input data (2)'!Q$126,'Input data (2)'!$BL$1-$A4,0),""))))</f>
        <v>6912</v>
      </c>
      <c r="S15" s="1" t="str">
        <f ca="1">IF(AND('Input data (2)'!$C$2=4,$D4&gt;=0),OFFSET('Input data (2)'!R$126,'Input data (2)'!$BL$1-$D4,0),IF(AND('Input data (2)'!$C$2=3,$C4&gt;=0),OFFSET('Input data (2)'!R$126,'Input data (2)'!$BL$1-$C4,0),IF(AND('Input data (2)'!$C$2=2,$B4&gt;=0),OFFSET('Input data (2)'!R$126,'Input data (2)'!$BL$1-$B4,0),IF(AND('Input data (2)'!$C$2=1,$A4&gt;=0),OFFSET('Input data (2)'!R$126,'Input data (2)'!$BL$1-$A4,0),""))))</f>
        <v>:</v>
      </c>
      <c r="T15" s="1">
        <f ca="1">IF(AND('Input data (2)'!$C$2=4,$D4&gt;=0),OFFSET('Input data (2)'!AA$126,'Input data (2)'!$BL$1-$D4,0),IF(AND('Input data (2)'!$C$2=3,$C4&gt;=0),OFFSET('Input data (2)'!AA$126,'Input data (2)'!$BL$1-$C4,0),IF(AND('Input data (2)'!$C$2=2,$B4&gt;=0),OFFSET('Input data (2)'!AA$126,'Input data (2)'!$BL$1-$B4,0),IF(AND('Input data (2)'!$C$2=1,$A4&gt;=0),OFFSET('Input data (2)'!AA$126,'Input data (2)'!$BL$1-$A4,0),""))))</f>
        <v>1514</v>
      </c>
      <c r="U15" s="1">
        <f ca="1">IF(AND('Input data (2)'!$C$2=4,$D4&gt;=0),OFFSET('Input data (2)'!AL$126,'Input data (2)'!$BL$1-$D4,0),IF(AND('Input data (2)'!$C$2=3,$C4&gt;=0),OFFSET('Input data (2)'!AL$126,'Input data (2)'!$BL$1-$C4,0),IF(AND('Input data (2)'!$C$2=2,$B4&gt;=0),OFFSET('Input data (2)'!AL$126,'Input data (2)'!$BL$1-$B4,0),IF(AND('Input data (2)'!$C$2=1,$A4&gt;=0),OFFSET('Input data (2)'!AL$126,'Input data (2)'!$BL$1-$A4,0),""))))</f>
        <v>8232</v>
      </c>
      <c r="V15" s="1">
        <f ca="1">IF(AND('Input data (2)'!$C$2=4,$D4&gt;=0),OFFSET('Input data (2)'!AJ$126,'Input data (2)'!$BL$1-$D4,0),IF(AND('Input data (2)'!$C$2=3,$C4&gt;=0),OFFSET('Input data (2)'!AJ$126,'Input data (2)'!$BL$1-$C4,0),IF(AND('Input data (2)'!$C$2=2,$B4&gt;=0),OFFSET('Input data (2)'!AJ$126,'Input data (2)'!$BL$1-$B4,0),IF(AND('Input data (2)'!$C$2=1,$A4&gt;=0),OFFSET('Input data (2)'!AJ$126,'Input data (2)'!$BL$1-$A4,0),""))))</f>
        <v>6532</v>
      </c>
      <c r="W15" s="1">
        <f ca="1">IF(AND('Input data (2)'!$C$2=4,$D4&gt;=0),OFFSET('Input data (2)'!AK$126,'Input data (2)'!$BL$1-$D4,0),IF(AND('Input data (2)'!$C$2=3,$C4&gt;=0),OFFSET('Input data (2)'!AK$126,'Input data (2)'!$BL$1-$C4,0),IF(AND('Input data (2)'!$C$2=2,$B4&gt;=0),OFFSET('Input data (2)'!AK$126,'Input data (2)'!$BL$1-$B4,0),IF(AND('Input data (2)'!$C$2=1,$A4&gt;=0),OFFSET('Input data (2)'!AK$126,'Input data (2)'!$BL$1-$A4,0),""))))</f>
        <v>1700</v>
      </c>
      <c r="Y15" s="1">
        <f ca="1">IF(AND('Input data (2)'!$C$2=4,$D4&gt;=0),OFFSET('Input data (2)'!Q$126,'Input data (2)'!$BL$1-$D4,0),IF(AND('Input data (2)'!$C$2=3,$C4&gt;=0),OFFSET('Input data (2)'!Q$126,'Input data (2)'!$BL$1-$C4,0),IF(AND('Input data (2)'!$C$2=2,$B4&gt;=0),OFFSET('Input data (2)'!Q$126,'Input data (2)'!$BL$1-$B4,0),IF(AND('Input data (2)'!$C$2=1,$A4&gt;=0),OFFSET('Input data (2)'!Q$126,'Input data (2)'!$BL$1-$A4,0),""))))</f>
        <v>6912</v>
      </c>
      <c r="Z15" s="1">
        <f ca="1">IF(AND('Input data (2)'!$C$2=4,$D4&gt;=0),OFFSET('Input data (2)'!S$126,'Input data (2)'!$BL$1-$D4,0),IF(AND('Input data (2)'!$C$2=3,$C4&gt;=0),OFFSET('Input data (2)'!S$126,'Input data (2)'!$BL$1-$C4,0),IF(AND('Input data (2)'!$C$2=2,$B4&gt;=0),OFFSET('Input data (2)'!S$126,'Input data (2)'!$BL$1-$B4,0),IF(AND('Input data (2)'!$C$2=1,$A4&gt;=0),OFFSET('Input data (2)'!S$126,'Input data (2)'!$BL$1-$A4,0),""))))</f>
        <v>4892</v>
      </c>
      <c r="AA15" s="1">
        <f ca="1">IF(AND('Input data (2)'!$C$2=4,$D4&gt;=0),OFFSET('Input data (2)'!T$126,'Input data (2)'!$BL$1-$D4,0),IF(AND('Input data (2)'!$C$2=3,$C4&gt;=0),OFFSET('Input data (2)'!T$126,'Input data (2)'!$BL$1-$C4,0),IF(AND('Input data (2)'!$C$2=2,$B4&gt;=0),OFFSET('Input data (2)'!T$126,'Input data (2)'!$BL$1-$B4,0),IF(AND('Input data (2)'!$C$2=1,$A4&gt;=0),OFFSET('Input data (2)'!T$126,'Input data (2)'!$BL$1-$A4,0),""))))</f>
        <v>70.775462962962962</v>
      </c>
      <c r="AB15" s="1">
        <f ca="1">IF(AND('Input data (2)'!$C$2=4,$D4&gt;=0),OFFSET('Input data (2)'!U$126,'Input data (2)'!$BL$1-$D4,0),IF(AND('Input data (2)'!$C$2=3,$C4&gt;=0),OFFSET('Input data (2)'!U$126,'Input data (2)'!$BL$1-$C4,0),IF(AND('Input data (2)'!$C$2=2,$B4&gt;=0),OFFSET('Input data (2)'!U$126,'Input data (2)'!$BL$1-$B4,0),IF(AND('Input data (2)'!$C$2=1,$A4&gt;=0),OFFSET('Input data (2)'!U$126,'Input data (2)'!$BL$1-$A4,0),""))))</f>
        <v>2020</v>
      </c>
      <c r="AC15" s="1">
        <f ca="1">IF(AND('Input data (2)'!$C$2=4,$D4&gt;=0),OFFSET('Input data (2)'!V$126,'Input data (2)'!$BL$1-$D4,0),IF(AND('Input data (2)'!$C$2=3,$C4&gt;=0),OFFSET('Input data (2)'!V$126,'Input data (2)'!$BL$1-$C4,0),IF(AND('Input data (2)'!$C$2=2,$B4&gt;=0),OFFSET('Input data (2)'!V$126,'Input data (2)'!$BL$1-$B4,0),IF(AND('Input data (2)'!$C$2=1,$A4&gt;=0),OFFSET('Input data (2)'!V$126,'Input data (2)'!$BL$1-$A4,0),""))))</f>
        <v>29.224537037037035</v>
      </c>
      <c r="AD15" s="1">
        <f ca="1">IF(AND('Input data (2)'!$C$2=4,$D4&gt;=0),OFFSET('Input data (2)'!Q$126,'Input data (2)'!$BL$1-$D4,0),IF(AND('Input data (2)'!$C$2=3,$C4&gt;=0),OFFSET('Input data (2)'!Q$126,'Input data (2)'!$BL$1-$C4,0),IF(AND('Input data (2)'!$C$2=2,$B4&gt;=0),OFFSET('Input data (2)'!Q$126,'Input data (2)'!$BL$1-$B4,0),IF(AND('Input data (2)'!$C$2=1,$A4&gt;=0),OFFSET('Input data (2)'!Q$126,'Input data (2)'!$BL$1-$A4,0),""))))</f>
        <v>6912</v>
      </c>
      <c r="AE15" s="1">
        <f ca="1">IF(AND('Input data (2)'!$C$2=4,$D4&gt;=0),OFFSET('Input data (2)'!W$126,'Input data (2)'!$BL$1-$D4,0),IF(AND('Input data (2)'!$C$2=3,$C4&gt;=0),OFFSET('Input data (2)'!W$126,'Input data (2)'!$BL$1-$C4,0),IF(AND('Input data (2)'!$C$2=2,$B4&gt;=0),OFFSET('Input data (2)'!W$126,'Input data (2)'!$BL$1-$B4,0),IF(AND('Input data (2)'!$C$2=1,$A4&gt;=0),OFFSET('Input data (2)'!W$126,'Input data (2)'!$BL$1-$A4,0),""))))</f>
        <v>2468</v>
      </c>
      <c r="AF15" s="1">
        <f ca="1">IF(AND('Input data (2)'!$C$2=4,$D4&gt;=0),OFFSET('Input data (2)'!X$126,'Input data (2)'!$BL$1-$D4,0),IF(AND('Input data (2)'!$C$2=3,$C4&gt;=0),OFFSET('Input data (2)'!X$126,'Input data (2)'!$BL$1-$C4,0),IF(AND('Input data (2)'!$C$2=2,$B4&gt;=0),OFFSET('Input data (2)'!X$126,'Input data (2)'!$BL$1-$B4,0),IF(AND('Input data (2)'!$C$2=1,$A4&gt;=0),OFFSET('Input data (2)'!X$126,'Input data (2)'!$BL$1-$A4,0),""))))</f>
        <v>35.706018518518519</v>
      </c>
      <c r="AG15" s="1">
        <f ca="1">IF(AND('Input data (2)'!$C$2=4,$D4&gt;=0),OFFSET('Input data (2)'!Y$126,'Input data (2)'!$BL$1-$D4,0),IF(AND('Input data (2)'!$C$2=3,$C4&gt;=0),OFFSET('Input data (2)'!Y$126,'Input data (2)'!$BL$1-$C4,0),IF(AND('Input data (2)'!$C$2=2,$B4&gt;=0),OFFSET('Input data (2)'!Y$126,'Input data (2)'!$BL$1-$B4,0),IF(AND('Input data (2)'!$C$2=1,$A4&gt;=0),OFFSET('Input data (2)'!Y$126,'Input data (2)'!$BL$1-$A4,0),""))))</f>
        <v>4444</v>
      </c>
      <c r="AH15" s="1">
        <f ca="1">IF(AND('Input data (2)'!$C$2=4,$D4&gt;=0),OFFSET('Input data (2)'!Z$126,'Input data (2)'!$BL$1-$D4,0),IF(AND('Input data (2)'!$C$2=3,$C4&gt;=0),OFFSET('Input data (2)'!Z$126,'Input data (2)'!$BL$1-$C4,0),IF(AND('Input data (2)'!$C$2=2,$B4&gt;=0),OFFSET('Input data (2)'!Z$126,'Input data (2)'!$BL$1-$B4,0),IF(AND('Input data (2)'!$C$2=1,$A4&gt;=0),OFFSET('Input data (2)'!Z$126,'Input data (2)'!$BL$1-$A4,0),""))))</f>
        <v>64.293981481481481</v>
      </c>
      <c r="AI15" s="3"/>
      <c r="AJ15" s="124">
        <f ca="1">IF(AND('Input data (2)'!$C$2=4,$D4&gt;=0),OFFSET('Input data (2)'!AF$126,'Input data (2)'!$BL$1-$D4,0),IF(AND('Input data (2)'!$C$2=3,$C4&gt;=0),OFFSET('Input data (2)'!AF$126,'Input data (2)'!$BL$1-$C4,0),IF(AND('Input data (2)'!$C$2=2,$B4&gt;=0),OFFSET('Input data (2)'!AF$126,'Input data (2)'!$BL$1-$B4,0),IF(AND('Input data (2)'!$C$2=1,$A4&gt;=0),OFFSET('Input data (2)'!AF$126,'Input data (2)'!$BL$1-$A4,0),""))))</f>
        <v>464</v>
      </c>
      <c r="AK15" s="124">
        <f ca="1">IF(AND('Input data (2)'!$C$2=4,$D4&gt;=0),OFFSET('Input data (2)'!AD$126,'Input data (2)'!$BL$1-$D4,0),IF(AND('Input data (2)'!$C$2=3,$C4&gt;=0),OFFSET('Input data (2)'!AD$126,'Input data (2)'!$BL$1-$C4,0),IF(AND('Input data (2)'!$C$2=2,$B4&gt;=0),OFFSET('Input data (2)'!AD$126,'Input data (2)'!$BL$1-$B4,0),IF(AND('Input data (2)'!$C$2=1,$A4&gt;=0),OFFSET('Input data (2)'!AD$126,'Input data (2)'!$BL$1-$A4,0),""))))</f>
        <v>462</v>
      </c>
      <c r="AL15" s="124">
        <f ca="1">IF(AND('Input data (2)'!$C$2=4,$D4&gt;=0),OFFSET('Input data (2)'!AE$126,'Input data (2)'!$BL$1-$D4,0),IF(AND('Input data (2)'!$C$2=3,$C4&gt;=0),OFFSET('Input data (2)'!AE$126,'Input data (2)'!$BL$1-$C4,0),IF(AND('Input data (2)'!$C$2=2,$B4&gt;=0),OFFSET('Input data (2)'!AE$126,'Input data (2)'!$BL$1-$B4,0),IF(AND('Input data (2)'!$C$2=1,$A4&gt;=0),OFFSET('Input data (2)'!AE$126,'Input data (2)'!$BL$1-$A4,0),""))))</f>
        <v>2</v>
      </c>
      <c r="AW15" s="1">
        <f ca="1">IF(AND('Input data (2)'!$C$2=4,$D4&gt;=0),OFFSET('Input data (2)'!L$126,'Input data (2)'!$BL$1-$D4,0),IF(AND('Input data (2)'!$C$2=3,$C4&gt;=0),OFFSET('Input data (2)'!L$126,'Input data (2)'!$BL$1-$C4,0),IF(AND('Input data (2)'!$C$2=2,$B4&gt;=0),OFFSET('Input data (2)'!L$126,'Input data (2)'!$BL$1-$B4,0),IF(AND('Input data (2)'!$C$2=1,$A4&gt;=0),OFFSET('Input data (2)'!L$126,'Input data (2)'!$BL$1-$A4,0),""))))</f>
        <v>315</v>
      </c>
      <c r="AX15" s="1">
        <f ca="1">IF(AND('Input data (2)'!$C$2=4,$D4&gt;=0),OFFSET('Input data (2)'!M$126,'Input data (2)'!$BL$1-$D4,0),IF(AND('Input data (2)'!$C$2=3,$C4&gt;=0),OFFSET('Input data (2)'!M$126,'Input data (2)'!$BL$1-$C4,0),IF(AND('Input data (2)'!$C$2=2,$B4&gt;=0),OFFSET('Input data (2)'!M$126,'Input data (2)'!$BL$1-$B4,0),IF(AND('Input data (2)'!$C$2=1,$A4&gt;=0),OFFSET('Input data (2)'!M$126,'Input data (2)'!$BL$1-$A4,0),""))))</f>
        <v>160</v>
      </c>
      <c r="AY15" s="1" t="str">
        <f ca="1">IF(AND('Input data (2)'!$C$2=4,$D4&gt;=0),OFFSET('Input data (2)'!N$126,'Input data (2)'!$BL$1-$D4,0),IF(AND('Input data (2)'!$C$2=3,$C4&gt;=0),OFFSET('Input data (2)'!N$126,'Input data (2)'!$BL$1-$C4,0),IF(AND('Input data (2)'!$C$2=2,$B4&gt;=0),OFFSET('Input data (2)'!N$126,'Input data (2)'!$BL$1-$B4,0),IF(AND('Input data (2)'!$C$2=1,$A4&gt;=0),OFFSET('Input data (2)'!N$126,'Input data (2)'!$BL$1-$A4,0),""))))</f>
        <v>:</v>
      </c>
      <c r="AZ15" s="1">
        <f ca="1">IF(AND('Input data (2)'!$C$2=4,$D4&gt;=0),OFFSET('Input data (2)'!P$126,'Input data (2)'!$BL$1-$D4,0),IF(AND('Input data (2)'!$C$2=3,$C4&gt;=0),OFFSET('Input data (2)'!P$126,'Input data (2)'!$BL$1-$C4,0),IF(AND('Input data (2)'!$C$2=2,$B4&gt;=0),OFFSET('Input data (2)'!P$126,'Input data (2)'!$BL$1-$B4,0),IF(AND('Input data (2)'!$C$2=1,$A4&gt;=0),OFFSET('Input data (2)'!P$126,'Input data (2)'!$BL$1-$A4,0),""))))</f>
        <v>178</v>
      </c>
      <c r="BB15" s="1">
        <f ca="1">IF(AND('Input data (2)'!$C$2=4,$D4&gt;=0),OFFSET('Input data (2)'!BB$126,'Input data (2)'!$BL$1-$D4,0),IF(AND('Input data (2)'!$C$2=3,$C4&gt;=0),OFFSET('Input data (2)'!BB$126,'Input data (2)'!$BL$1-$C4,0),IF(AND('Input data (2)'!$C$2=2,$B4&gt;=0),OFFSET('Input data (2)'!BB$126,'Input data (2)'!$BL$1-$B4,0),IF(AND('Input data (2)'!$C$2=1,$A4&gt;=0),OFFSET('Input data (2)'!BB$126,'Input data (2)'!$BL$1-$A4,0),""))))</f>
        <v>2015</v>
      </c>
      <c r="BC15" s="1">
        <f ca="1">IF(AND('Input data (2)'!$C$2=4,$D4&gt;=0),OFFSET('Input data (2)'!AY$126,'Input data (2)'!$BL$1-$D4,0),IF(AND('Input data (2)'!$C$2=3,$C4&gt;=0),OFFSET('Input data (2)'!AY$126,'Input data (2)'!$BL$1-$C4,0),IF(AND('Input data (2)'!$C$2=2,$B4&gt;=0),OFFSET('Input data (2)'!AY$126,'Input data (2)'!$BL$1-$B4,0),IF(AND('Input data (2)'!$C$2=1,$A4&gt;=0),OFFSET('Input data (2)'!AY$126,'Input data (2)'!$BL$1-$A4,0),""))))</f>
        <v>799</v>
      </c>
      <c r="BD15" s="1" t="str">
        <f ca="1">IF(AND('Input data (2)'!$C$2=4,$D4&gt;=0),OFFSET('Input data (2)'!AZ$126,'Input data (2)'!$BL$1-$D4,0),IF(AND('Input data (2)'!$C$2=3,$C4&gt;=0),OFFSET('Input data (2)'!AZ$126,'Input data (2)'!$BL$1-$C4,0),IF(AND('Input data (2)'!$C$2=2,$B4&gt;=0),OFFSET('Input data (2)'!AZ$126,'Input data (2)'!$BL$1-$B4,0),IF(AND('Input data (2)'!$C$2=1,$A4&gt;=0),OFFSET('Input data (2)'!AZ$126,'Input data (2)'!$BL$1-$A4,0),""))))</f>
        <v>:</v>
      </c>
      <c r="BE15" s="1">
        <f ca="1">IF(AND('Input data (2)'!$C$2=4,$D4&gt;=0),OFFSET('Input data (2)'!BA$126,'Input data (2)'!$BL$1-$D4,0),IF(AND('Input data (2)'!$C$2=3,$C4&gt;=0),OFFSET('Input data (2)'!BA$126,'Input data (2)'!$BL$1-$C4,0),IF(AND('Input data (2)'!$C$2=2,$B4&gt;=0),OFFSET('Input data (2)'!BA$126,'Input data (2)'!$BL$1-$B4,0),IF(AND('Input data (2)'!$C$2=1,$A4&gt;=0),OFFSET('Input data (2)'!BA$126,'Input data (2)'!$BL$1-$A4,0),""))))</f>
        <v>1216</v>
      </c>
      <c r="BF15" s="1">
        <f ca="1">IF(AND('Input data (2)'!$C$2=4,$D4&gt;=0),OFFSET('Input data (2)'!AP$126,'Input data (2)'!$BL$1-$D4,0),IF(AND('Input data (2)'!$C$2=3,$C4&gt;=0),OFFSET('Input data (2)'!AP$126,'Input data (2)'!$BL$1-$C4,0),IF(AND('Input data (2)'!$C$2=2,$B4&gt;=0),OFFSET('Input data (2)'!AP$126,'Input data (2)'!$BL$1-$B4,0),IF(AND('Input data (2)'!$C$2=1,$A4&gt;=0),OFFSET('Input data (2)'!AP$126,'Input data (2)'!$BL$1-$A4,0),""))))</f>
        <v>183</v>
      </c>
      <c r="BG15" s="1">
        <f ca="1">IF(AND('Input data (2)'!$C$2=4,$D4&gt;=0),OFFSET('Input data (2)'!AN$126,'Input data (2)'!$BL$1-$D4,0),IF(AND('Input data (2)'!$C$2=3,$C4&gt;=0),OFFSET('Input data (2)'!AN$126,'Input data (2)'!$BL$1-$C4,0),IF(AND('Input data (2)'!$C$2=2,$B4&gt;=0),OFFSET('Input data (2)'!AN$126,'Input data (2)'!$BL$1-$B4,0),IF(AND('Input data (2)'!$C$2=1,$A4&gt;=0),OFFSET('Input data (2)'!AN$126,'Input data (2)'!$BL$1-$A4,0),""))))</f>
        <v>133</v>
      </c>
      <c r="BH15" s="1">
        <f ca="1">IF(AND('Input data (2)'!$C$2=4,$D4&gt;=0),OFFSET('Input data (2)'!AO$126,'Input data (2)'!$BL$1-$D4,0),IF(AND('Input data (2)'!$C$2=3,$C4&gt;=0),OFFSET('Input data (2)'!AO$126,'Input data (2)'!$BL$1-$C4,0),IF(AND('Input data (2)'!$C$2=2,$B4&gt;=0),OFFSET('Input data (2)'!AO$126,'Input data (2)'!$BL$1-$B4,0),IF(AND('Input data (2)'!$C$2=1,$A4&gt;=0),OFFSET('Input data (2)'!AO$126,'Input data (2)'!$BL$1-$A4,0),""))))</f>
        <v>50</v>
      </c>
      <c r="BJ15" s="1">
        <f ca="1">IF(AND('Input data (2)'!$C$2=4,$D4&gt;=0),OFFSET('Input data (2)'!AU$126,'Input data (2)'!$BL$1-$D4,0),IF(AND('Input data (2)'!$C$2=3,$C4&gt;=0),OFFSET('Input data (2)'!AU$126,'Input data (2)'!$BL$1-$C4,0),IF(AND('Input data (2)'!$C$2=2,$B4&gt;=0),OFFSET('Input data (2)'!AU$126,'Input data (2)'!$BL$1-$B4,0),IF(AND('Input data (2)'!$C$2=1,$A4&gt;=0),OFFSET('Input data (2)'!AU$126,'Input data (2)'!$BL$1-$A4,0),""))))</f>
        <v>41</v>
      </c>
      <c r="BK15" s="1">
        <f ca="1">IF(AND('Input data (2)'!$C$2=4,$D4&gt;=0),OFFSET('Input data (2)'!AV$126,'Input data (2)'!$BL$1-$D4,0),IF(AND('Input data (2)'!$C$2=3,$C4&gt;=0),OFFSET('Input data (2)'!AV$126,'Input data (2)'!$BL$1-$C4,0),IF(AND('Input data (2)'!$C$2=2,$B4&gt;=0),OFFSET('Input data (2)'!AV$126,'Input data (2)'!$BL$1-$B4,0),IF(AND('Input data (2)'!$C$2=1,$A4&gt;=0),OFFSET('Input data (2)'!AV$126,'Input data (2)'!$BL$1-$A4,0),""))))</f>
        <v>4</v>
      </c>
      <c r="BL15" s="1" t="str">
        <f ca="1">IF(AND('Input data (2)'!$C$2=4,$D4&gt;=0),OFFSET('Input data (2)'!AW$126,'Input data (2)'!$BL$1-$D4,0),IF(AND('Input data (2)'!$C$2=3,$C4&gt;=0),OFFSET('Input data (2)'!AW$126,'Input data (2)'!$BL$1-$C4,0),IF(AND('Input data (2)'!$C$2=2,$B4&gt;=0),OFFSET('Input data (2)'!AW$126,'Input data (2)'!$BL$1-$B4,0),IF(AND('Input data (2)'!$C$2=1,$A4&gt;=0),OFFSET('Input data (2)'!AW$126,'Input data (2)'!$BL$1-$A4,0),""))))</f>
        <v>:</v>
      </c>
      <c r="BM15" s="1">
        <f ca="1">IF(AND('Input data (2)'!$C$2=4,$D4&gt;=0),OFFSET('Input data (2)'!AX$126,'Input data (2)'!$BL$1-$D4,0),IF(AND('Input data (2)'!$C$2=3,$C4&gt;=0),OFFSET('Input data (2)'!AX$126,'Input data (2)'!$BL$1-$C4,0),IF(AND('Input data (2)'!$C$2=2,$B4&gt;=0),OFFSET('Input data (2)'!AX$126,'Input data (2)'!$BL$1-$B4,0),IF(AND('Input data (2)'!$C$2=1,$A4&gt;=0),OFFSET('Input data (2)'!AX$126,'Input data (2)'!$BL$1-$A4,0),""))))</f>
        <v>0</v>
      </c>
      <c r="BO15" s="1">
        <f ca="1">IF(AND('Input data (2)'!$C$2=4,$D4&gt;=0),OFFSET('Input data (2)'!BL$126,'Input data (2)'!$BL$1-$D4,0),IF(AND('Input data (2)'!$C$2=3,$C4&gt;=0),OFFSET('Input data (2)'!BL$126,'Input data (2)'!$BL$1-$C4,0),IF(AND('Input data (2)'!$C$2=2,$B4&gt;=0),OFFSET('Input data (2)'!BL$126,'Input data (2)'!$BL$1-$B4,0),IF(AND('Input data (2)'!$C$2=1,$A4&gt;=0),OFFSET('Input data (2)'!BL$126,'Input data (2)'!$BL$1-$A4,0),""))))</f>
        <v>146</v>
      </c>
      <c r="BP15" s="1">
        <f ca="1">IF(AND('Input data (2)'!$C$2=4,$D4&gt;=0),OFFSET('Input data (2)'!BI$126,'Input data (2)'!$BL$1-$D4,0),IF(AND('Input data (2)'!$C$2=3,$C4&gt;=0),OFFSET('Input data (2)'!BI$126,'Input data (2)'!$BL$1-$C4,0),IF(AND('Input data (2)'!$C$2=2,$B4&gt;=0),OFFSET('Input data (2)'!BI$126,'Input data (2)'!$BL$1-$B4,0),IF(AND('Input data (2)'!$C$2=1,$A4&gt;=0),OFFSET('Input data (2)'!BI$126,'Input data (2)'!$BL$1-$A4,0),""))))</f>
        <v>90</v>
      </c>
      <c r="BQ15" s="1" t="str">
        <f ca="1">IF(AND('Input data (2)'!$C$2=4,$D4&gt;=0),OFFSET('Input data (2)'!BK$126,'Input data (2)'!$BL$1-$D4,0),IF(AND('Input data (2)'!$C$2=3,$C4&gt;=0),OFFSET('Input data (2)'!BK$126,'Input data (2)'!$BL$1-$C4,0),IF(AND('Input data (2)'!$C$2=2,$B4&gt;=0),OFFSET('Input data (2)'!BK$126,'Input data (2)'!$BL$1-$B4,0),IF(AND('Input data (2)'!$C$2=1,$A4&gt;=0),OFFSET('Input data (2)'!BK$126,'Input data (2)'!$BL$1-$A4,0),""))))</f>
        <v>..</v>
      </c>
      <c r="BR15" s="1">
        <f ca="1">IF(AND('Input data (2)'!$C$2=4,$D4&gt;=0),OFFSET('Input data (2)'!BJ$126,'Input data (2)'!$BL$1-$D4,0),IF(AND('Input data (2)'!$C$2=3,$C4&gt;=0),OFFSET('Input data (2)'!BJ$126,'Input data (2)'!$BL$1-$C4,0),IF(AND('Input data (2)'!$C$2=2,$B4&gt;=0),OFFSET('Input data (2)'!BJ$126,'Input data (2)'!$BL$1-$B4,0),IF(AND('Input data (2)'!$C$2=1,$A4&gt;=0),OFFSET('Input data (2)'!BJ$126,'Input data (2)'!$BL$1-$A4,0),""))))</f>
        <v>56</v>
      </c>
      <c r="BS15" s="1">
        <f ca="1">IF(AND('Input data (2)'!$C$2=4,$D4&gt;=0),OFFSET('Input data (2)'!BF$126,'Input data (2)'!$BL$1-$D4,0),IF(AND('Input data (2)'!$C$2=3,$C4&gt;=0),OFFSET('Input data (2)'!BF$126,'Input data (2)'!$BL$1-$C4,0),IF(AND('Input data (2)'!$C$2=2,$B4&gt;=0),OFFSET('Input data (2)'!BF$126,'Input data (2)'!$BL$1-$B4,0),IF(AND('Input data (2)'!$C$2=1,$A4&gt;=0),OFFSET('Input data (2)'!BF$126,'Input data (2)'!$BL$1-$A4,0),""))))</f>
        <v>37</v>
      </c>
      <c r="BT15" s="1">
        <f ca="1">IF(AND('Input data (2)'!$C$2=4,$D4&gt;=0),OFFSET('Input data (2)'!BD$126,'Input data (2)'!$BL$1-$D4,0),IF(AND('Input data (2)'!$C$2=3,$C4&gt;=0),OFFSET('Input data (2)'!BD$126,'Input data (2)'!$BL$1-$C4,0),IF(AND('Input data (2)'!$C$2=2,$B4&gt;=0),OFFSET('Input data (2)'!BD$126,'Input data (2)'!$BL$1-$B4,0),IF(AND('Input data (2)'!$C$2=1,$A4&gt;=0),OFFSET('Input data (2)'!BD$126,'Input data (2)'!$BL$1-$A4,0),""))))</f>
        <v>30</v>
      </c>
      <c r="BU15" s="1">
        <f ca="1">IF(AND('Input data (2)'!$C$2=4,$D4&gt;=0),OFFSET('Input data (2)'!BE$126,'Input data (2)'!$BL$1-$D4,0),IF(AND('Input data (2)'!$C$2=3,$C4&gt;=0),OFFSET('Input data (2)'!BE$126,'Input data (2)'!$BL$1-$C4,0),IF(AND('Input data (2)'!$C$2=2,$B4&gt;=0),OFFSET('Input data (2)'!BE$126,'Input data (2)'!$BL$1-$B4,0),IF(AND('Input data (2)'!$C$2=1,$A4&gt;=0),OFFSET('Input data (2)'!BE$126,'Input data (2)'!$BL$1-$A4,0),""))))</f>
        <v>7</v>
      </c>
      <c r="BW15" s="7">
        <f ca="1">IF(AND('Input data (2)'!$C$2=4,$D4&gt;=0),OFFSET('Input data (2)'!J$126,'Input data (2)'!$BL$1-$D4,0),IF(AND('Input data (2)'!$C$2=3,$C4&gt;=0),OFFSET('Input data (2)'!J$126,'Input data (2)'!$BL$1-$C4,0),IF(AND('Input data (2)'!$C$2=2,$B4&gt;=0),OFFSET('Input data (2)'!J$126,'Input data (2)'!$BL$1-$B4,0),IF(AND('Input data (2)'!$C$2=1,$A4&gt;=0),OFFSET('Input data (2)'!J$126,'Input data (2)'!$BL$1-$A4,0),""))))</f>
        <v>1.0857409166552363</v>
      </c>
      <c r="BX15" s="7">
        <f ca="1">IF(AND('Input data (2)'!$C$2=4,$D4&gt;=0),OFFSET('Input data (2)'!K$126,'Input data (2)'!$BL$1-$D4,0),IF(AND('Input data (2)'!$C$2=3,$C4&gt;=0),OFFSET('Input data (2)'!K$126,'Input data (2)'!$BL$1-$C4,0),IF(AND('Input data (2)'!$C$2=2,$B4&gt;=0),OFFSET('Input data (2)'!K$126,'Input data (2)'!$BL$1-$B4,0),IF(AND('Input data (2)'!$C$2=1,$A4&gt;=0),OFFSET('Input data (2)'!K$126,'Input data (2)'!$BL$1-$A4,0),""))))</f>
        <v>0.97794654073890885</v>
      </c>
      <c r="BY15" s="7">
        <f ca="1">IF(AND('Input data (2)'!$C$2=4,$D4&gt;=0),OFFSET('Input data (2)'!AS$126,'Input data (2)'!$BL$1-$D4,0),IF(AND('Input data (2)'!$C$2=3,$C4&gt;=0),OFFSET('Input data (2)'!AS$126,'Input data (2)'!$BL$1-$C4,0),IF(AND('Input data (2)'!$C$2=2,$B4&gt;=0),OFFSET('Input data (2)'!AS$126,'Input data (2)'!$BL$1-$B4,0),IF(AND('Input data (2)'!$C$2=1,$A4&gt;=0),OFFSET('Input data (2)'!AS$126,'Input data (2)'!$BL$1-$A4,0),""))))</f>
        <v>0.8666093414268996</v>
      </c>
      <c r="BZ15" s="7">
        <f ca="1">IF(AND('Input data (2)'!$C$2=4,$D4&gt;=0),OFFSET('Input data (2)'!AT$126,'Input data (2)'!$BL$1-$D4,0),IF(AND('Input data (2)'!$C$2=3,$C4&gt;=0),OFFSET('Input data (2)'!AT$126,'Input data (2)'!$BL$1-$C4,0),IF(AND('Input data (2)'!$C$2=2,$B4&gt;=0),OFFSET('Input data (2)'!AT$126,'Input data (2)'!$BL$1-$B4,0),IF(AND('Input data (2)'!$C$2=1,$A4&gt;=0),OFFSET('Input data (2)'!AT$126,'Input data (2)'!$BL$1-$A4,0),""))))</f>
        <v>0.78859936249616758</v>
      </c>
      <c r="CB15" s="122"/>
      <c r="CC15" s="122"/>
      <c r="CD15" s="122"/>
      <c r="CE15" s="122"/>
      <c r="CG15" s="1">
        <v>29</v>
      </c>
      <c r="CI15" s="1">
        <f t="shared" ca="1" si="24"/>
        <v>2006</v>
      </c>
      <c r="CJ15" s="1" t="str">
        <f t="shared" si="25"/>
        <v>Q1</v>
      </c>
      <c r="CK15" s="1" t="str">
        <f t="shared" ca="1" si="12"/>
        <v>06</v>
      </c>
      <c r="CL15" s="1" t="str">
        <f t="shared" ca="1" si="13"/>
        <v>Q1 06</v>
      </c>
      <c r="CM15" s="1">
        <f ca="1">OFFSET('Input data (2)'!AJ$126,'Input data (2)'!$BL$1-'Output data - DO NOT TOUCH (2)'!$CG15,0)/1000</f>
        <v>15.217000000000001</v>
      </c>
      <c r="CN15" s="1">
        <f ca="1">OFFSET('Input data (2)'!AK$126,'Input data (2)'!$BL$1-'Output data - DO NOT TOUCH (2)'!$CG15,0)/1000</f>
        <v>8.5879999999999992</v>
      </c>
      <c r="CO15" s="1">
        <f ca="1">OFFSET('Input data (2)'!AL$126,'Input data (2)'!$BL$1-'Output data - DO NOT TOUCH (2)'!$CG15,0)/1000</f>
        <v>23.805</v>
      </c>
      <c r="CP15" s="1"/>
      <c r="CQ15" s="1">
        <f ca="1">OFFSET('Input data (2)'!AG$126,'Input data (2)'!$BL$1-'Output data - DO NOT TOUCH (2)'!$CG15,0)/1000</f>
        <v>1.4390000000000001</v>
      </c>
      <c r="CR15" s="1">
        <f ca="1">OFFSET('Input data (2)'!AH$126,'Input data (2)'!$BL$1-'Output data - DO NOT TOUCH (2)'!$CG15,0)/1000</f>
        <v>2.0150000000000001</v>
      </c>
      <c r="CS15" s="1">
        <f ca="1">OFFSET('Input data (2)'!AI$126,'Input data (2)'!$BL$1-'Output data - DO NOT TOUCH (2)'!$CG15,0)/1000</f>
        <v>3.4540000000000002</v>
      </c>
      <c r="CT15" s="1"/>
      <c r="CU15" s="1">
        <f ca="1">OFFSET('Input data (2)'!L$126,'Input data (2)'!$BL$1-'Output data - DO NOT TOUCH (2)'!$CG15,0)</f>
        <v>180</v>
      </c>
      <c r="CV15" s="1">
        <f ca="1">OFFSET('Input data (2)'!M$126,'Input data (2)'!$BL$1-'Output data - DO NOT TOUCH (2)'!$CG15,0)</f>
        <v>0</v>
      </c>
      <c r="CW15" s="67">
        <f ca="1">OFFSET('Input data (2)'!N$126,'Input data (2)'!$BL$1-'Output data - DO NOT TOUCH (2)'!$CG15,0)</f>
        <v>753</v>
      </c>
      <c r="CX15" s="1">
        <f ca="1">OFFSET('Input data (2)'!P$126,'Input data (2)'!$BL$1-'Output data - DO NOT TOUCH (2)'!$CG15,0)</f>
        <v>124</v>
      </c>
      <c r="CY15" s="1"/>
      <c r="CZ15" s="1">
        <f ca="1">OFFSET('Input data (2)'!AY$126,'Input data (2)'!$BL$1-'Output data - DO NOT TOUCH (2)'!$CG15,0)/1000</f>
        <v>1.298</v>
      </c>
      <c r="DA15" s="1">
        <f ca="1">OFFSET('Input data (2)'!BA$126,'Input data (2)'!$BL$1-'Output data - DO NOT TOUCH (2)'!$CG15,0)/1000</f>
        <v>1.889</v>
      </c>
      <c r="DB15" s="1">
        <f ca="1">OFFSET('Input data (2)'!BB$126,'Input data (2)'!$BL$1-'Output data - DO NOT TOUCH (2)'!$CG15,0)/1000</f>
        <v>3.1869999999999998</v>
      </c>
      <c r="DD15" s="1">
        <f ca="1">OFFSET('Input data (2)'!AN$126,'Input data (2)'!$BL$1-'Output data - DO NOT TOUCH (2)'!$CG15,0)</f>
        <v>96</v>
      </c>
      <c r="DE15" s="1">
        <f ca="1">OFFSET('Input data (2)'!AO$126,'Input data (2)'!$BL$1-'Output data - DO NOT TOUCH (2)'!$CG15,0)</f>
        <v>32</v>
      </c>
      <c r="DF15" s="1">
        <f ca="1">OFFSET('Input data (2)'!AP$126,'Input data (2)'!$BL$1-'Output data - DO NOT TOUCH (2)'!$CG15,0)</f>
        <v>128</v>
      </c>
      <c r="DG15" s="1"/>
      <c r="DH15" s="1">
        <f ca="1">OFFSET('Input data (2)'!AU$126,'Input data (2)'!$BL$1-'Output data - DO NOT TOUCH (2)'!$CG15,0)</f>
        <v>11</v>
      </c>
      <c r="DI15" s="1">
        <f ca="1">OFFSET('Input data (2)'!AV$126,'Input data (2)'!$BL$1-'Output data - DO NOT TOUCH (2)'!$CG15,0)</f>
        <v>0</v>
      </c>
      <c r="DJ15" s="1">
        <f ca="1">OFFSET('Input data (2)'!AW$126,'Input data (2)'!$BL$1-'Output data - DO NOT TOUCH (2)'!$CG15,0)</f>
        <v>28</v>
      </c>
      <c r="DK15" s="1">
        <f ca="1">OFFSET('Input data (2)'!AX$126,'Input data (2)'!$BL$1-'Output data - DO NOT TOUCH (2)'!$CG15,0)</f>
        <v>2</v>
      </c>
      <c r="DM15" s="1">
        <f ca="1">OFFSET('Input data (2)'!BI$126,'Input data (2)'!$BL$1-'Output data - DO NOT TOUCH (2)'!$CG15,0)</f>
        <v>245</v>
      </c>
      <c r="DN15" s="1">
        <f ca="1">OFFSET('Input data (2)'!BJ$126,'Input data (2)'!$BL$1-'Output data - DO NOT TOUCH (2)'!$CG15,0)</f>
        <v>163</v>
      </c>
      <c r="DO15" s="1">
        <f ca="1">OFFSET('Input data (2)'!BL$126,'Input data (2)'!$BL$1-'Output data - DO NOT TOUCH (2)'!$CG15,0)</f>
        <v>408</v>
      </c>
      <c r="DQ15" s="1">
        <f ca="1">OFFSET('Input data (2)'!BD$126,'Input data (2)'!$BL$1-'Output data - DO NOT TOUCH (2)'!$CG15,0)</f>
        <v>19</v>
      </c>
      <c r="DR15" s="1">
        <f ca="1">OFFSET('Input data (2)'!BE$126,'Input data (2)'!$BL$1-'Output data - DO NOT TOUCH (2)'!$CG15,0)</f>
        <v>10</v>
      </c>
      <c r="DS15" s="1">
        <f ca="1">OFFSET('Input data (2)'!BF$126,'Input data (2)'!$BL$1-'Output data - DO NOT TOUCH (2)'!$CG15,0)</f>
        <v>29</v>
      </c>
      <c r="DU15" s="1">
        <f ca="1">OFFSET('Input data (2)'!B$126,'Input data (2)'!$BL$1-'Output data - DO NOT TOUCH (2)'!$CG15-1,0)</f>
        <v>2005</v>
      </c>
      <c r="DV15" s="1" t="str">
        <f ca="1">OFFSET('Input data (2)'!C$126,'Input data (2)'!$BL$1-'Output data - DO NOT TOUCH (2)'!$CG15-1,0)</f>
        <v>Q4</v>
      </c>
      <c r="DW15" s="1" t="str">
        <f t="shared" ca="1" si="14"/>
        <v>05</v>
      </c>
      <c r="DX15" s="1" t="str">
        <f t="shared" ca="1" si="15"/>
        <v>Q4 05</v>
      </c>
      <c r="DY15" s="1">
        <f ca="1">OFFSET('Input data (2)'!W$126,'Input data (2)'!$BL$1-'Output data - DO NOT TOUCH (2)'!$CG15-1,0)/1000</f>
        <v>2.7080000000000002</v>
      </c>
      <c r="DZ15" s="1">
        <f ca="1">OFFSET('Input data (2)'!Y$126,'Input data (2)'!$BL$1-'Output data - DO NOT TOUCH (2)'!$CG15-1,0)/1000</f>
        <v>9.8010000000000002</v>
      </c>
      <c r="EA15" s="1">
        <f ca="1">OFFSET('Input data (2)'!Q$126,'Input data (2)'!$BL$1-'Output data - DO NOT TOUCH (2)'!$CG15-1,0)/1000</f>
        <v>12.509</v>
      </c>
      <c r="EC15" s="3" t="str">
        <f t="shared" ref="EC15:EC23" si="26">EC4</f>
        <v>Q2 11</v>
      </c>
      <c r="ED15" s="68" t="e">
        <f t="shared" ref="ED15:ED23" ca="1" si="27">(CM36/CM32-1)*(CM32/$CO32)*100</f>
        <v>#VALUE!</v>
      </c>
      <c r="EE15" s="68" t="e">
        <f t="shared" ref="EE15:EE23" ca="1" si="28">(CN36/CN32-1)*(CN32/$CO32)*100</f>
        <v>#VALUE!</v>
      </c>
      <c r="EF15" s="68" t="e">
        <f t="shared" ref="EF15:EF23" ca="1" si="29">SUM(ED15:EE15)</f>
        <v>#VALUE!</v>
      </c>
      <c r="EH15" s="68">
        <f t="shared" ref="EH15:EH23" ca="1" si="30">(CQ36/CQ32-1)*(CQ32/$CS32)*100</f>
        <v>3.2734432685207988</v>
      </c>
      <c r="EI15" s="68">
        <f t="shared" ref="EI15:EI23" ca="1" si="31">(CR36/CR32-1)*(CR32/$CS32)*100</f>
        <v>0.83682008368200966</v>
      </c>
      <c r="EJ15" s="68">
        <f t="shared" ref="EJ15:EJ23" ca="1" si="32">EH15+EI15</f>
        <v>4.1102633522028089</v>
      </c>
    </row>
    <row r="16" spans="1:140" x14ac:dyDescent="0.15">
      <c r="A16" s="1">
        <v>28</v>
      </c>
      <c r="B16" s="1">
        <v>29</v>
      </c>
      <c r="C16" s="1">
        <v>30</v>
      </c>
      <c r="D16" s="1">
        <v>27</v>
      </c>
      <c r="E16" s="1" t="str">
        <f>F16&amp;G16</f>
        <v>2003Q2</v>
      </c>
      <c r="F16" s="1">
        <f>F15</f>
        <v>2003</v>
      </c>
      <c r="G16" s="1" t="s">
        <v>2</v>
      </c>
      <c r="H16" s="1">
        <f>VLOOKUP($E16,'Input data (2)'!$A:$BL,'Output data - DO NOT TOUCH (2)'!H$71,FALSE)</f>
        <v>3767</v>
      </c>
      <c r="I16" s="1">
        <f>VLOOKUP($E16,'Input data (2)'!$A:$BL,'Output data - DO NOT TOUCH (2)'!I$71,FALSE)</f>
        <v>1470</v>
      </c>
      <c r="J16" s="1">
        <f>VLOOKUP($E16,'Input data (2)'!$A:$BL,'Output data - DO NOT TOUCH (2)'!J$71,FALSE)</f>
        <v>2297</v>
      </c>
      <c r="K16" s="1">
        <f>VLOOKUP($E16,'Input data (2)'!$A:$BL,'Output data - DO NOT TOUCH (2)'!K$71,FALSE)</f>
        <v>3698</v>
      </c>
      <c r="L16" s="1">
        <f>VLOOKUP($E16,'Input data (2)'!$A:$BL,'Output data - DO NOT TOUCH (2)'!L$71,FALSE)</f>
        <v>1440</v>
      </c>
      <c r="M16" s="1">
        <f>VLOOKUP($E16,'Input data (2)'!$A:$BL,'Output data - DO NOT TOUCH (2)'!M$71,FALSE)</f>
        <v>2258</v>
      </c>
      <c r="O16" s="119" t="str">
        <f ca="1">IF(AND('Input data (2)'!$C$2=4,$D5&gt;=0),OFFSET('Input data (2)'!O$126,'Input data (2)'!$BL$1-$D5,0),IF(AND('Input data (2)'!$C$2=3,$C5&gt;=0),OFFSET('Input data (2)'!O$126,'Input data (2)'!$BL$1-$C5,0),IF(AND('Input data (2)'!$C$2=2,$B5&gt;=0),OFFSET('Input data (2)'!O$126,'Input data (2)'!$BL$1-$B5,0),IF(AND('Input data (2)'!$C$2=1,$A5&gt;=0),OFFSET('Input data (2)'!O$126,'Input data (2)'!$BL$1-$A5,0),""))))</f>
        <v>:</v>
      </c>
      <c r="Q16" s="1">
        <f ca="1">IF(AND('Input data (2)'!$C$2=4,$D5&gt;=0),OFFSET('Input data (2)'!AC$126,'Input data (2)'!$BL$1-$D5,0),IF(AND('Input data (2)'!$C$2=3,$C5&gt;=0),OFFSET('Input data (2)'!AC$126,'Input data (2)'!$BL$1-$C5,0),IF(AND('Input data (2)'!$C$2=2,$B5&gt;=0),OFFSET('Input data (2)'!AC$126,'Input data (2)'!$BL$1-$B5,0),IF(AND('Input data (2)'!$C$2=1,$A5&gt;=0),OFFSET('Input data (2)'!AC$126,'Input data (2)'!$BL$1-$A5,0),""))))</f>
        <v>8889</v>
      </c>
      <c r="R16" s="1">
        <f ca="1">IF(AND('Input data (2)'!$C$2=4,$D5&gt;=0),OFFSET('Input data (2)'!Q$126,'Input data (2)'!$BL$1-$D5,0),IF(AND('Input data (2)'!$C$2=3,$C5&gt;=0),OFFSET('Input data (2)'!Q$126,'Input data (2)'!$BL$1-$C5,0),IF(AND('Input data (2)'!$C$2=2,$B5&gt;=0),OFFSET('Input data (2)'!Q$126,'Input data (2)'!$BL$1-$B5,0),IF(AND('Input data (2)'!$C$2=1,$A5&gt;=0),OFFSET('Input data (2)'!Q$126,'Input data (2)'!$BL$1-$A5,0),""))))</f>
        <v>6948</v>
      </c>
      <c r="S16" s="1" t="str">
        <f ca="1">IF(AND('Input data (2)'!$C$2=4,$D5&gt;=0),OFFSET('Input data (2)'!R$126,'Input data (2)'!$BL$1-$D5,0),IF(AND('Input data (2)'!$C$2=3,$C5&gt;=0),OFFSET('Input data (2)'!R$126,'Input data (2)'!$BL$1-$C5,0),IF(AND('Input data (2)'!$C$2=2,$B5&gt;=0),OFFSET('Input data (2)'!R$126,'Input data (2)'!$BL$1-$B5,0),IF(AND('Input data (2)'!$C$2=1,$A5&gt;=0),OFFSET('Input data (2)'!R$126,'Input data (2)'!$BL$1-$A5,0),""))))</f>
        <v>:</v>
      </c>
      <c r="T16" s="1">
        <f ca="1">IF(AND('Input data (2)'!$C$2=4,$D5&gt;=0),OFFSET('Input data (2)'!AA$126,'Input data (2)'!$BL$1-$D5,0),IF(AND('Input data (2)'!$C$2=3,$C5&gt;=0),OFFSET('Input data (2)'!AA$126,'Input data (2)'!$BL$1-$C5,0),IF(AND('Input data (2)'!$C$2=2,$B5&gt;=0),OFFSET('Input data (2)'!AA$126,'Input data (2)'!$BL$1-$B5,0),IF(AND('Input data (2)'!$C$2=1,$A5&gt;=0),OFFSET('Input data (2)'!AA$126,'Input data (2)'!$BL$1-$A5,0),""))))</f>
        <v>1941</v>
      </c>
      <c r="U16" s="1">
        <f ca="1">IF(AND('Input data (2)'!$C$2=4,$D5&gt;=0),OFFSET('Input data (2)'!AL$126,'Input data (2)'!$BL$1-$D5,0),IF(AND('Input data (2)'!$C$2=3,$C5&gt;=0),OFFSET('Input data (2)'!AL$126,'Input data (2)'!$BL$1-$C5,0),IF(AND('Input data (2)'!$C$2=2,$B5&gt;=0),OFFSET('Input data (2)'!AL$126,'Input data (2)'!$BL$1-$B5,0),IF(AND('Input data (2)'!$C$2=1,$A5&gt;=0),OFFSET('Input data (2)'!AL$126,'Input data (2)'!$BL$1-$A5,0),""))))</f>
        <v>8644</v>
      </c>
      <c r="V16" s="1">
        <f ca="1">IF(AND('Input data (2)'!$C$2=4,$D5&gt;=0),OFFSET('Input data (2)'!AJ$126,'Input data (2)'!$BL$1-$D5,0),IF(AND('Input data (2)'!$C$2=3,$C5&gt;=0),OFFSET('Input data (2)'!AJ$126,'Input data (2)'!$BL$1-$C5,0),IF(AND('Input data (2)'!$C$2=2,$B5&gt;=0),OFFSET('Input data (2)'!AJ$126,'Input data (2)'!$BL$1-$B5,0),IF(AND('Input data (2)'!$C$2=1,$A5&gt;=0),OFFSET('Input data (2)'!AJ$126,'Input data (2)'!$BL$1-$A5,0),""))))</f>
        <v>6748</v>
      </c>
      <c r="W16" s="1">
        <f ca="1">IF(AND('Input data (2)'!$C$2=4,$D5&gt;=0),OFFSET('Input data (2)'!AK$126,'Input data (2)'!$BL$1-$D5,0),IF(AND('Input data (2)'!$C$2=3,$C5&gt;=0),OFFSET('Input data (2)'!AK$126,'Input data (2)'!$BL$1-$C5,0),IF(AND('Input data (2)'!$C$2=2,$B5&gt;=0),OFFSET('Input data (2)'!AK$126,'Input data (2)'!$BL$1-$B5,0),IF(AND('Input data (2)'!$C$2=1,$A5&gt;=0),OFFSET('Input data (2)'!AK$126,'Input data (2)'!$BL$1-$A5,0),""))))</f>
        <v>1896</v>
      </c>
      <c r="Y16" s="1">
        <f ca="1">IF(AND('Input data (2)'!$C$2=4,$D5&gt;=0),OFFSET('Input data (2)'!Q$126,'Input data (2)'!$BL$1-$D5,0),IF(AND('Input data (2)'!$C$2=3,$C5&gt;=0),OFFSET('Input data (2)'!Q$126,'Input data (2)'!$BL$1-$C5,0),IF(AND('Input data (2)'!$C$2=2,$B5&gt;=0),OFFSET('Input data (2)'!Q$126,'Input data (2)'!$BL$1-$B5,0),IF(AND('Input data (2)'!$C$2=1,$A5&gt;=0),OFFSET('Input data (2)'!Q$126,'Input data (2)'!$BL$1-$A5,0),""))))</f>
        <v>6948</v>
      </c>
      <c r="Z16" s="1">
        <f ca="1">IF(AND('Input data (2)'!$C$2=4,$D5&gt;=0),OFFSET('Input data (2)'!S$126,'Input data (2)'!$BL$1-$D5,0),IF(AND('Input data (2)'!$C$2=3,$C5&gt;=0),OFFSET('Input data (2)'!S$126,'Input data (2)'!$BL$1-$C5,0),IF(AND('Input data (2)'!$C$2=2,$B5&gt;=0),OFFSET('Input data (2)'!S$126,'Input data (2)'!$BL$1-$B5,0),IF(AND('Input data (2)'!$C$2=1,$A5&gt;=0),OFFSET('Input data (2)'!S$126,'Input data (2)'!$BL$1-$A5,0),""))))</f>
        <v>4851</v>
      </c>
      <c r="AA16" s="1">
        <f ca="1">IF(AND('Input data (2)'!$C$2=4,$D5&gt;=0),OFFSET('Input data (2)'!T$126,'Input data (2)'!$BL$1-$D5,0),IF(AND('Input data (2)'!$C$2=3,$C5&gt;=0),OFFSET('Input data (2)'!T$126,'Input data (2)'!$BL$1-$C5,0),IF(AND('Input data (2)'!$C$2=2,$B5&gt;=0),OFFSET('Input data (2)'!T$126,'Input data (2)'!$BL$1-$B5,0),IF(AND('Input data (2)'!$C$2=1,$A5&gt;=0),OFFSET('Input data (2)'!T$126,'Input data (2)'!$BL$1-$A5,0),""))))</f>
        <v>69.818652849740943</v>
      </c>
      <c r="AB16" s="1">
        <f ca="1">IF(AND('Input data (2)'!$C$2=4,$D5&gt;=0),OFFSET('Input data (2)'!U$126,'Input data (2)'!$BL$1-$D5,0),IF(AND('Input data (2)'!$C$2=3,$C5&gt;=0),OFFSET('Input data (2)'!U$126,'Input data (2)'!$BL$1-$C5,0),IF(AND('Input data (2)'!$C$2=2,$B5&gt;=0),OFFSET('Input data (2)'!U$126,'Input data (2)'!$BL$1-$B5,0),IF(AND('Input data (2)'!$C$2=1,$A5&gt;=0),OFFSET('Input data (2)'!U$126,'Input data (2)'!$BL$1-$A5,0),""))))</f>
        <v>2097</v>
      </c>
      <c r="AC16" s="1">
        <f ca="1">IF(AND('Input data (2)'!$C$2=4,$D5&gt;=0),OFFSET('Input data (2)'!V$126,'Input data (2)'!$BL$1-$D5,0),IF(AND('Input data (2)'!$C$2=3,$C5&gt;=0),OFFSET('Input data (2)'!V$126,'Input data (2)'!$BL$1-$C5,0),IF(AND('Input data (2)'!$C$2=2,$B5&gt;=0),OFFSET('Input data (2)'!V$126,'Input data (2)'!$BL$1-$B5,0),IF(AND('Input data (2)'!$C$2=1,$A5&gt;=0),OFFSET('Input data (2)'!V$126,'Input data (2)'!$BL$1-$A5,0),""))))</f>
        <v>30.181347150259068</v>
      </c>
      <c r="AD16" s="1">
        <f ca="1">IF(AND('Input data (2)'!$C$2=4,$D5&gt;=0),OFFSET('Input data (2)'!Q$126,'Input data (2)'!$BL$1-$D5,0),IF(AND('Input data (2)'!$C$2=3,$C5&gt;=0),OFFSET('Input data (2)'!Q$126,'Input data (2)'!$BL$1-$C5,0),IF(AND('Input data (2)'!$C$2=2,$B5&gt;=0),OFFSET('Input data (2)'!Q$126,'Input data (2)'!$BL$1-$B5,0),IF(AND('Input data (2)'!$C$2=1,$A5&gt;=0),OFFSET('Input data (2)'!Q$126,'Input data (2)'!$BL$1-$A5,0),""))))</f>
        <v>6948</v>
      </c>
      <c r="AE16" s="1">
        <f ca="1">IF(AND('Input data (2)'!$C$2=4,$D5&gt;=0),OFFSET('Input data (2)'!W$126,'Input data (2)'!$BL$1-$D5,0),IF(AND('Input data (2)'!$C$2=3,$C5&gt;=0),OFFSET('Input data (2)'!W$126,'Input data (2)'!$BL$1-$C5,0),IF(AND('Input data (2)'!$C$2=2,$B5&gt;=0),OFFSET('Input data (2)'!W$126,'Input data (2)'!$BL$1-$B5,0),IF(AND('Input data (2)'!$C$2=1,$A5&gt;=0),OFFSET('Input data (2)'!W$126,'Input data (2)'!$BL$1-$A5,0),""))))</f>
        <v>2267</v>
      </c>
      <c r="AF16" s="1">
        <f ca="1">IF(AND('Input data (2)'!$C$2=4,$D5&gt;=0),OFFSET('Input data (2)'!X$126,'Input data (2)'!$BL$1-$D5,0),IF(AND('Input data (2)'!$C$2=3,$C5&gt;=0),OFFSET('Input data (2)'!X$126,'Input data (2)'!$BL$1-$C5,0),IF(AND('Input data (2)'!$C$2=2,$B5&gt;=0),OFFSET('Input data (2)'!X$126,'Input data (2)'!$BL$1-$B5,0),IF(AND('Input data (2)'!$C$2=1,$A5&gt;=0),OFFSET('Input data (2)'!X$126,'Input data (2)'!$BL$1-$A5,0),""))))</f>
        <v>32.628094415659184</v>
      </c>
      <c r="AG16" s="1">
        <f ca="1">IF(AND('Input data (2)'!$C$2=4,$D5&gt;=0),OFFSET('Input data (2)'!Y$126,'Input data (2)'!$BL$1-$D5,0),IF(AND('Input data (2)'!$C$2=3,$C5&gt;=0),OFFSET('Input data (2)'!Y$126,'Input data (2)'!$BL$1-$C5,0),IF(AND('Input data (2)'!$C$2=2,$B5&gt;=0),OFFSET('Input data (2)'!Y$126,'Input data (2)'!$BL$1-$B5,0),IF(AND('Input data (2)'!$C$2=1,$A5&gt;=0),OFFSET('Input data (2)'!Y$126,'Input data (2)'!$BL$1-$A5,0),""))))</f>
        <v>4681</v>
      </c>
      <c r="AH16" s="1">
        <f ca="1">IF(AND('Input data (2)'!$C$2=4,$D5&gt;=0),OFFSET('Input data (2)'!Z$126,'Input data (2)'!$BL$1-$D5,0),IF(AND('Input data (2)'!$C$2=3,$C5&gt;=0),OFFSET('Input data (2)'!Z$126,'Input data (2)'!$BL$1-$C5,0),IF(AND('Input data (2)'!$C$2=2,$B5&gt;=0),OFFSET('Input data (2)'!Z$126,'Input data (2)'!$BL$1-$B5,0),IF(AND('Input data (2)'!$C$2=1,$A5&gt;=0),OFFSET('Input data (2)'!Z$126,'Input data (2)'!$BL$1-$A5,0),""))))</f>
        <v>67.371905584340823</v>
      </c>
      <c r="AI16" s="3"/>
      <c r="AJ16" s="124">
        <f ca="1">IF(AND('Input data (2)'!$C$2=4,$D5&gt;=0),OFFSET('Input data (2)'!AF$126,'Input data (2)'!$BL$1-$D5,0),IF(AND('Input data (2)'!$C$2=3,$C5&gt;=0),OFFSET('Input data (2)'!AF$126,'Input data (2)'!$BL$1-$C5,0),IF(AND('Input data (2)'!$C$2=2,$B5&gt;=0),OFFSET('Input data (2)'!AF$126,'Input data (2)'!$BL$1-$B5,0),IF(AND('Input data (2)'!$C$2=1,$A5&gt;=0),OFFSET('Input data (2)'!AF$126,'Input data (2)'!$BL$1-$A5,0),""))))</f>
        <v>444</v>
      </c>
      <c r="AK16" s="124">
        <f ca="1">IF(AND('Input data (2)'!$C$2=4,$D5&gt;=0),OFFSET('Input data (2)'!AD$126,'Input data (2)'!$BL$1-$D5,0),IF(AND('Input data (2)'!$C$2=3,$C5&gt;=0),OFFSET('Input data (2)'!AD$126,'Input data (2)'!$BL$1-$C5,0),IF(AND('Input data (2)'!$C$2=2,$B5&gt;=0),OFFSET('Input data (2)'!AD$126,'Input data (2)'!$BL$1-$B5,0),IF(AND('Input data (2)'!$C$2=1,$A5&gt;=0),OFFSET('Input data (2)'!AD$126,'Input data (2)'!$BL$1-$A5,0),""))))</f>
        <v>432</v>
      </c>
      <c r="AL16" s="124">
        <f ca="1">IF(AND('Input data (2)'!$C$2=4,$D5&gt;=0),OFFSET('Input data (2)'!AE$126,'Input data (2)'!$BL$1-$D5,0),IF(AND('Input data (2)'!$C$2=3,$C5&gt;=0),OFFSET('Input data (2)'!AE$126,'Input data (2)'!$BL$1-$C5,0),IF(AND('Input data (2)'!$C$2=2,$B5&gt;=0),OFFSET('Input data (2)'!AE$126,'Input data (2)'!$BL$1-$B5,0),IF(AND('Input data (2)'!$C$2=1,$A5&gt;=0),OFFSET('Input data (2)'!AE$126,'Input data (2)'!$BL$1-$A5,0),""))))</f>
        <v>12</v>
      </c>
      <c r="AW16" s="1">
        <f ca="1">IF(AND('Input data (2)'!$C$2=4,$D5&gt;=0),OFFSET('Input data (2)'!L$126,'Input data (2)'!$BL$1-$D5,0),IF(AND('Input data (2)'!$C$2=3,$C5&gt;=0),OFFSET('Input data (2)'!L$126,'Input data (2)'!$BL$1-$C5,0),IF(AND('Input data (2)'!$C$2=2,$B5&gt;=0),OFFSET('Input data (2)'!L$126,'Input data (2)'!$BL$1-$B5,0),IF(AND('Input data (2)'!$C$2=1,$A5&gt;=0),OFFSET('Input data (2)'!L$126,'Input data (2)'!$BL$1-$A5,0),""))))</f>
        <v>298</v>
      </c>
      <c r="AX16" s="1">
        <f ca="1">IF(AND('Input data (2)'!$C$2=4,$D5&gt;=0),OFFSET('Input data (2)'!M$126,'Input data (2)'!$BL$1-$D5,0),IF(AND('Input data (2)'!$C$2=3,$C5&gt;=0),OFFSET('Input data (2)'!M$126,'Input data (2)'!$BL$1-$C5,0),IF(AND('Input data (2)'!$C$2=2,$B5&gt;=0),OFFSET('Input data (2)'!M$126,'Input data (2)'!$BL$1-$B5,0),IF(AND('Input data (2)'!$C$2=1,$A5&gt;=0),OFFSET('Input data (2)'!M$126,'Input data (2)'!$BL$1-$A5,0),""))))</f>
        <v>167</v>
      </c>
      <c r="AY16" s="1" t="str">
        <f ca="1">IF(AND('Input data (2)'!$C$2=4,$D5&gt;=0),OFFSET('Input data (2)'!N$126,'Input data (2)'!$BL$1-$D5,0),IF(AND('Input data (2)'!$C$2=3,$C5&gt;=0),OFFSET('Input data (2)'!N$126,'Input data (2)'!$BL$1-$C5,0),IF(AND('Input data (2)'!$C$2=2,$B5&gt;=0),OFFSET('Input data (2)'!N$126,'Input data (2)'!$BL$1-$B5,0),IF(AND('Input data (2)'!$C$2=1,$A5&gt;=0),OFFSET('Input data (2)'!N$126,'Input data (2)'!$BL$1-$A5,0),""))))</f>
        <v>:</v>
      </c>
      <c r="AZ16" s="1">
        <f ca="1">IF(AND('Input data (2)'!$C$2=4,$D5&gt;=0),OFFSET('Input data (2)'!P$126,'Input data (2)'!$BL$1-$D5,0),IF(AND('Input data (2)'!$C$2=3,$C5&gt;=0),OFFSET('Input data (2)'!P$126,'Input data (2)'!$BL$1-$C5,0),IF(AND('Input data (2)'!$C$2=2,$B5&gt;=0),OFFSET('Input data (2)'!P$126,'Input data (2)'!$BL$1-$B5,0),IF(AND('Input data (2)'!$C$2=1,$A5&gt;=0),OFFSET('Input data (2)'!P$126,'Input data (2)'!$BL$1-$A5,0),""))))</f>
        <v>165</v>
      </c>
      <c r="BB16" s="1">
        <f ca="1">IF(AND('Input data (2)'!$C$2=4,$D5&gt;=0),OFFSET('Input data (2)'!BB$126,'Input data (2)'!$BL$1-$D5,0),IF(AND('Input data (2)'!$C$2=3,$C5&gt;=0),OFFSET('Input data (2)'!BB$126,'Input data (2)'!$BL$1-$C5,0),IF(AND('Input data (2)'!$C$2=2,$B5&gt;=0),OFFSET('Input data (2)'!BB$126,'Input data (2)'!$BL$1-$B5,0),IF(AND('Input data (2)'!$C$2=1,$A5&gt;=0),OFFSET('Input data (2)'!BB$126,'Input data (2)'!$BL$1-$A5,0),""))))</f>
        <v>2189</v>
      </c>
      <c r="BC16" s="1">
        <f ca="1">IF(AND('Input data (2)'!$C$2=4,$D5&gt;=0),OFFSET('Input data (2)'!AY$126,'Input data (2)'!$BL$1-$D5,0),IF(AND('Input data (2)'!$C$2=3,$C5&gt;=0),OFFSET('Input data (2)'!AY$126,'Input data (2)'!$BL$1-$C5,0),IF(AND('Input data (2)'!$C$2=2,$B5&gt;=0),OFFSET('Input data (2)'!AY$126,'Input data (2)'!$BL$1-$B5,0),IF(AND('Input data (2)'!$C$2=1,$A5&gt;=0),OFFSET('Input data (2)'!AY$126,'Input data (2)'!$BL$1-$A5,0),""))))</f>
        <v>858</v>
      </c>
      <c r="BD16" s="1" t="str">
        <f ca="1">IF(AND('Input data (2)'!$C$2=4,$D5&gt;=0),OFFSET('Input data (2)'!AZ$126,'Input data (2)'!$BL$1-$D5,0),IF(AND('Input data (2)'!$C$2=3,$C5&gt;=0),OFFSET('Input data (2)'!AZ$126,'Input data (2)'!$BL$1-$C5,0),IF(AND('Input data (2)'!$C$2=2,$B5&gt;=0),OFFSET('Input data (2)'!AZ$126,'Input data (2)'!$BL$1-$B5,0),IF(AND('Input data (2)'!$C$2=1,$A5&gt;=0),OFFSET('Input data (2)'!AZ$126,'Input data (2)'!$BL$1-$A5,0),""))))</f>
        <v>:</v>
      </c>
      <c r="BE16" s="1">
        <f ca="1">IF(AND('Input data (2)'!$C$2=4,$D5&gt;=0),OFFSET('Input data (2)'!BA$126,'Input data (2)'!$BL$1-$D5,0),IF(AND('Input data (2)'!$C$2=3,$C5&gt;=0),OFFSET('Input data (2)'!BA$126,'Input data (2)'!$BL$1-$C5,0),IF(AND('Input data (2)'!$C$2=2,$B5&gt;=0),OFFSET('Input data (2)'!BA$126,'Input data (2)'!$BL$1-$B5,0),IF(AND('Input data (2)'!$C$2=1,$A5&gt;=0),OFFSET('Input data (2)'!BA$126,'Input data (2)'!$BL$1-$A5,0),""))))</f>
        <v>1331</v>
      </c>
      <c r="BF16" s="1">
        <f ca="1">IF(AND('Input data (2)'!$C$2=4,$D5&gt;=0),OFFSET('Input data (2)'!AP$126,'Input data (2)'!$BL$1-$D5,0),IF(AND('Input data (2)'!$C$2=3,$C5&gt;=0),OFFSET('Input data (2)'!AP$126,'Input data (2)'!$BL$1-$C5,0),IF(AND('Input data (2)'!$C$2=2,$B5&gt;=0),OFFSET('Input data (2)'!AP$126,'Input data (2)'!$BL$1-$B5,0),IF(AND('Input data (2)'!$C$2=1,$A5&gt;=0),OFFSET('Input data (2)'!AP$126,'Input data (2)'!$BL$1-$A5,0),""))))</f>
        <v>168</v>
      </c>
      <c r="BG16" s="1">
        <f ca="1">IF(AND('Input data (2)'!$C$2=4,$D5&gt;=0),OFFSET('Input data (2)'!AN$126,'Input data (2)'!$BL$1-$D5,0),IF(AND('Input data (2)'!$C$2=3,$C5&gt;=0),OFFSET('Input data (2)'!AN$126,'Input data (2)'!$BL$1-$C5,0),IF(AND('Input data (2)'!$C$2=2,$B5&gt;=0),OFFSET('Input data (2)'!AN$126,'Input data (2)'!$BL$1-$B5,0),IF(AND('Input data (2)'!$C$2=1,$A5&gt;=0),OFFSET('Input data (2)'!AN$126,'Input data (2)'!$BL$1-$A5,0),""))))</f>
        <v>118</v>
      </c>
      <c r="BH16" s="1">
        <f ca="1">IF(AND('Input data (2)'!$C$2=4,$D5&gt;=0),OFFSET('Input data (2)'!AO$126,'Input data (2)'!$BL$1-$D5,0),IF(AND('Input data (2)'!$C$2=3,$C5&gt;=0),OFFSET('Input data (2)'!AO$126,'Input data (2)'!$BL$1-$C5,0),IF(AND('Input data (2)'!$C$2=2,$B5&gt;=0),OFFSET('Input data (2)'!AO$126,'Input data (2)'!$BL$1-$B5,0),IF(AND('Input data (2)'!$C$2=1,$A5&gt;=0),OFFSET('Input data (2)'!AO$126,'Input data (2)'!$BL$1-$A5,0),""))))</f>
        <v>50</v>
      </c>
      <c r="BJ16" s="1">
        <f ca="1">IF(AND('Input data (2)'!$C$2=4,$D5&gt;=0),OFFSET('Input data (2)'!AU$126,'Input data (2)'!$BL$1-$D5,0),IF(AND('Input data (2)'!$C$2=3,$C5&gt;=0),OFFSET('Input data (2)'!AU$126,'Input data (2)'!$BL$1-$C5,0),IF(AND('Input data (2)'!$C$2=2,$B5&gt;=0),OFFSET('Input data (2)'!AU$126,'Input data (2)'!$BL$1-$B5,0),IF(AND('Input data (2)'!$C$2=1,$A5&gt;=0),OFFSET('Input data (2)'!AU$126,'Input data (2)'!$BL$1-$A5,0),""))))</f>
        <v>21</v>
      </c>
      <c r="BK16" s="1">
        <f ca="1">IF(AND('Input data (2)'!$C$2=4,$D5&gt;=0),OFFSET('Input data (2)'!AV$126,'Input data (2)'!$BL$1-$D5,0),IF(AND('Input data (2)'!$C$2=3,$C5&gt;=0),OFFSET('Input data (2)'!AV$126,'Input data (2)'!$BL$1-$C5,0),IF(AND('Input data (2)'!$C$2=2,$B5&gt;=0),OFFSET('Input data (2)'!AV$126,'Input data (2)'!$BL$1-$B5,0),IF(AND('Input data (2)'!$C$2=1,$A5&gt;=0),OFFSET('Input data (2)'!AV$126,'Input data (2)'!$BL$1-$A5,0),""))))</f>
        <v>1</v>
      </c>
      <c r="BL16" s="1" t="str">
        <f ca="1">IF(AND('Input data (2)'!$C$2=4,$D5&gt;=0),OFFSET('Input data (2)'!AW$126,'Input data (2)'!$BL$1-$D5,0),IF(AND('Input data (2)'!$C$2=3,$C5&gt;=0),OFFSET('Input data (2)'!AW$126,'Input data (2)'!$BL$1-$C5,0),IF(AND('Input data (2)'!$C$2=2,$B5&gt;=0),OFFSET('Input data (2)'!AW$126,'Input data (2)'!$BL$1-$B5,0),IF(AND('Input data (2)'!$C$2=1,$A5&gt;=0),OFFSET('Input data (2)'!AW$126,'Input data (2)'!$BL$1-$A5,0),""))))</f>
        <v>:</v>
      </c>
      <c r="BM16" s="1">
        <f ca="1">IF(AND('Input data (2)'!$C$2=4,$D5&gt;=0),OFFSET('Input data (2)'!AX$126,'Input data (2)'!$BL$1-$D5,0),IF(AND('Input data (2)'!$C$2=3,$C5&gt;=0),OFFSET('Input data (2)'!AX$126,'Input data (2)'!$BL$1-$C5,0),IF(AND('Input data (2)'!$C$2=2,$B5&gt;=0),OFFSET('Input data (2)'!AX$126,'Input data (2)'!$BL$1-$B5,0),IF(AND('Input data (2)'!$C$2=1,$A5&gt;=0),OFFSET('Input data (2)'!AX$126,'Input data (2)'!$BL$1-$A5,0),""))))</f>
        <v>3</v>
      </c>
      <c r="BO16" s="1">
        <f ca="1">IF(AND('Input data (2)'!$C$2=4,$D5&gt;=0),OFFSET('Input data (2)'!BL$126,'Input data (2)'!$BL$1-$D5,0),IF(AND('Input data (2)'!$C$2=3,$C5&gt;=0),OFFSET('Input data (2)'!BL$126,'Input data (2)'!$BL$1-$C5,0),IF(AND('Input data (2)'!$C$2=2,$B5&gt;=0),OFFSET('Input data (2)'!BL$126,'Input data (2)'!$BL$1-$B5,0),IF(AND('Input data (2)'!$C$2=1,$A5&gt;=0),OFFSET('Input data (2)'!BL$126,'Input data (2)'!$BL$1-$A5,0),""))))</f>
        <v>219</v>
      </c>
      <c r="BP16" s="1">
        <f ca="1">IF(AND('Input data (2)'!$C$2=4,$D5&gt;=0),OFFSET('Input data (2)'!BI$126,'Input data (2)'!$BL$1-$D5,0),IF(AND('Input data (2)'!$C$2=3,$C5&gt;=0),OFFSET('Input data (2)'!BI$126,'Input data (2)'!$BL$1-$C5,0),IF(AND('Input data (2)'!$C$2=2,$B5&gt;=0),OFFSET('Input data (2)'!BI$126,'Input data (2)'!$BL$1-$B5,0),IF(AND('Input data (2)'!$C$2=1,$A5&gt;=0),OFFSET('Input data (2)'!BI$126,'Input data (2)'!$BL$1-$A5,0),""))))</f>
        <v>141</v>
      </c>
      <c r="BQ16" s="1" t="str">
        <f ca="1">IF(AND('Input data (2)'!$C$2=4,$D5&gt;=0),OFFSET('Input data (2)'!BK$126,'Input data (2)'!$BL$1-$D5,0),IF(AND('Input data (2)'!$C$2=3,$C5&gt;=0),OFFSET('Input data (2)'!BK$126,'Input data (2)'!$BL$1-$C5,0),IF(AND('Input data (2)'!$C$2=2,$B5&gt;=0),OFFSET('Input data (2)'!BK$126,'Input data (2)'!$BL$1-$B5,0),IF(AND('Input data (2)'!$C$2=1,$A5&gt;=0),OFFSET('Input data (2)'!BK$126,'Input data (2)'!$BL$1-$A5,0),""))))</f>
        <v>..</v>
      </c>
      <c r="BR16" s="1">
        <f ca="1">IF(AND('Input data (2)'!$C$2=4,$D5&gt;=0),OFFSET('Input data (2)'!BJ$126,'Input data (2)'!$BL$1-$D5,0),IF(AND('Input data (2)'!$C$2=3,$C5&gt;=0),OFFSET('Input data (2)'!BJ$126,'Input data (2)'!$BL$1-$C5,0),IF(AND('Input data (2)'!$C$2=2,$B5&gt;=0),OFFSET('Input data (2)'!BJ$126,'Input data (2)'!$BL$1-$B5,0),IF(AND('Input data (2)'!$C$2=1,$A5&gt;=0),OFFSET('Input data (2)'!BJ$126,'Input data (2)'!$BL$1-$A5,0),""))))</f>
        <v>78</v>
      </c>
      <c r="BS16" s="1">
        <f ca="1">IF(AND('Input data (2)'!$C$2=4,$D5&gt;=0),OFFSET('Input data (2)'!BF$126,'Input data (2)'!$BL$1-$D5,0),IF(AND('Input data (2)'!$C$2=3,$C5&gt;=0),OFFSET('Input data (2)'!BF$126,'Input data (2)'!$BL$1-$C5,0),IF(AND('Input data (2)'!$C$2=2,$B5&gt;=0),OFFSET('Input data (2)'!BF$126,'Input data (2)'!$BL$1-$B5,0),IF(AND('Input data (2)'!$C$2=1,$A5&gt;=0),OFFSET('Input data (2)'!BF$126,'Input data (2)'!$BL$1-$A5,0),""))))</f>
        <v>42</v>
      </c>
      <c r="BT16" s="1">
        <f ca="1">IF(AND('Input data (2)'!$C$2=4,$D5&gt;=0),OFFSET('Input data (2)'!BD$126,'Input data (2)'!$BL$1-$D5,0),IF(AND('Input data (2)'!$C$2=3,$C5&gt;=0),OFFSET('Input data (2)'!BD$126,'Input data (2)'!$BL$1-$C5,0),IF(AND('Input data (2)'!$C$2=2,$B5&gt;=0),OFFSET('Input data (2)'!BD$126,'Input data (2)'!$BL$1-$B5,0),IF(AND('Input data (2)'!$C$2=1,$A5&gt;=0),OFFSET('Input data (2)'!BD$126,'Input data (2)'!$BL$1-$A5,0),""))))</f>
        <v>25</v>
      </c>
      <c r="BU16" s="1">
        <f ca="1">IF(AND('Input data (2)'!$C$2=4,$D5&gt;=0),OFFSET('Input data (2)'!BE$126,'Input data (2)'!$BL$1-$D5,0),IF(AND('Input data (2)'!$C$2=3,$C5&gt;=0),OFFSET('Input data (2)'!BE$126,'Input data (2)'!$BL$1-$C5,0),IF(AND('Input data (2)'!$C$2=2,$B5&gt;=0),OFFSET('Input data (2)'!BE$126,'Input data (2)'!$BL$1-$B5,0),IF(AND('Input data (2)'!$C$2=1,$A5&gt;=0),OFFSET('Input data (2)'!BE$126,'Input data (2)'!$BL$1-$A5,0),""))))</f>
        <v>17</v>
      </c>
      <c r="BW16" s="7">
        <f ca="1">IF(AND('Input data (2)'!$C$2=4,$D5&gt;=0),OFFSET('Input data (2)'!J$126,'Input data (2)'!$BL$1-$D5,0),IF(AND('Input data (2)'!$C$2=3,$C5&gt;=0),OFFSET('Input data (2)'!J$126,'Input data (2)'!$BL$1-$C5,0),IF(AND('Input data (2)'!$C$2=2,$B5&gt;=0),OFFSET('Input data (2)'!J$126,'Input data (2)'!$BL$1-$B5,0),IF(AND('Input data (2)'!$C$2=1,$A5&gt;=0),OFFSET('Input data (2)'!J$126,'Input data (2)'!$BL$1-$A5,0),""))))</f>
        <v>1.0374138266141255</v>
      </c>
      <c r="BX16" s="7">
        <f ca="1">IF(AND('Input data (2)'!$C$2=4,$D5&gt;=0),OFFSET('Input data (2)'!K$126,'Input data (2)'!$BL$1-$D5,0),IF(AND('Input data (2)'!$C$2=3,$C5&gt;=0),OFFSET('Input data (2)'!K$126,'Input data (2)'!$BL$1-$C5,0),IF(AND('Input data (2)'!$C$2=2,$B5&gt;=0),OFFSET('Input data (2)'!K$126,'Input data (2)'!$BL$1-$B5,0),IF(AND('Input data (2)'!$C$2=1,$A5&gt;=0),OFFSET('Input data (2)'!K$126,'Input data (2)'!$BL$1-$A5,0),""))))</f>
        <v>0.93760215178586392</v>
      </c>
      <c r="BY16" s="7">
        <f ca="1">IF(AND('Input data (2)'!$C$2=4,$D5&gt;=0),OFFSET('Input data (2)'!AS$126,'Input data (2)'!$BL$1-$D5,0),IF(AND('Input data (2)'!$C$2=3,$C5&gt;=0),OFFSET('Input data (2)'!AS$126,'Input data (2)'!$BL$1-$C5,0),IF(AND('Input data (2)'!$C$2=2,$B5&gt;=0),OFFSET('Input data (2)'!AS$126,'Input data (2)'!$BL$1-$B5,0),IF(AND('Input data (2)'!$C$2=1,$A5&gt;=0),OFFSET('Input data (2)'!AS$126,'Input data (2)'!$BL$1-$A5,0),""))))</f>
        <v>0.83510052061135354</v>
      </c>
      <c r="BZ16" s="7">
        <f ca="1">IF(AND('Input data (2)'!$C$2=4,$D5&gt;=0),OFFSET('Input data (2)'!AT$126,'Input data (2)'!$BL$1-$D5,0),IF(AND('Input data (2)'!$C$2=3,$C5&gt;=0),OFFSET('Input data (2)'!AT$126,'Input data (2)'!$BL$1-$C5,0),IF(AND('Input data (2)'!$C$2=2,$B5&gt;=0),OFFSET('Input data (2)'!AT$126,'Input data (2)'!$BL$1-$B5,0),IF(AND('Input data (2)'!$C$2=1,$A5&gt;=0),OFFSET('Input data (2)'!AT$126,'Input data (2)'!$BL$1-$A5,0),""))))</f>
        <v>0.76138735502814059</v>
      </c>
      <c r="CB16" s="122"/>
      <c r="CC16" s="122"/>
      <c r="CD16" s="122"/>
      <c r="CE16" s="122"/>
      <c r="CG16" s="1">
        <v>28</v>
      </c>
      <c r="CI16" s="1">
        <f t="shared" si="24"/>
        <v>2006</v>
      </c>
      <c r="CJ16" s="1" t="str">
        <f t="shared" si="25"/>
        <v>Q2</v>
      </c>
      <c r="CK16" s="1" t="str">
        <f t="shared" si="12"/>
        <v>06</v>
      </c>
      <c r="CL16" s="1" t="str">
        <f t="shared" si="13"/>
        <v>Q2 06</v>
      </c>
      <c r="CM16" s="1">
        <f ca="1">OFFSET('Input data (2)'!AJ$126,'Input data (2)'!$BL$1-'Output data - DO NOT TOUCH (2)'!$CG16,0)/1000</f>
        <v>15.265000000000001</v>
      </c>
      <c r="CN16" s="1">
        <f ca="1">OFFSET('Input data (2)'!AK$126,'Input data (2)'!$BL$1-'Output data - DO NOT TOUCH (2)'!$CG16,0)/1000</f>
        <v>11.031000000000001</v>
      </c>
      <c r="CO16" s="1">
        <f ca="1">OFFSET('Input data (2)'!AL$126,'Input data (2)'!$BL$1-'Output data - DO NOT TOUCH (2)'!$CG16,0)/1000</f>
        <v>26.295999999999999</v>
      </c>
      <c r="CP16" s="1"/>
      <c r="CQ16" s="1">
        <f ca="1">OFFSET('Input data (2)'!AG$126,'Input data (2)'!$BL$1-'Output data - DO NOT TOUCH (2)'!$CG16,0)/1000</f>
        <v>1.2410000000000001</v>
      </c>
      <c r="CR16" s="1">
        <f ca="1">OFFSET('Input data (2)'!AH$126,'Input data (2)'!$BL$1-'Output data - DO NOT TOUCH (2)'!$CG16,0)/1000</f>
        <v>1.9530000000000001</v>
      </c>
      <c r="CS16" s="1">
        <f ca="1">OFFSET('Input data (2)'!AI$126,'Input data (2)'!$BL$1-'Output data - DO NOT TOUCH (2)'!$CG16,0)/1000</f>
        <v>3.194</v>
      </c>
      <c r="CT16" s="1"/>
      <c r="CU16" s="1">
        <f ca="1">OFFSET('Input data (2)'!L$126,'Input data (2)'!$BL$1-'Output data - DO NOT TOUCH (2)'!$CG16,0)</f>
        <v>153</v>
      </c>
      <c r="CV16" s="1">
        <f ca="1">OFFSET('Input data (2)'!M$126,'Input data (2)'!$BL$1-'Output data - DO NOT TOUCH (2)'!$CG16,0)</f>
        <v>0</v>
      </c>
      <c r="CW16" s="67">
        <f ca="1">OFFSET('Input data (2)'!N$126,'Input data (2)'!$BL$1-'Output data - DO NOT TOUCH (2)'!$CG16,0)</f>
        <v>653</v>
      </c>
      <c r="CX16" s="1">
        <f ca="1">OFFSET('Input data (2)'!P$126,'Input data (2)'!$BL$1-'Output data - DO NOT TOUCH (2)'!$CG16,0)</f>
        <v>147</v>
      </c>
      <c r="CY16" s="1"/>
      <c r="CZ16" s="1">
        <f ca="1">OFFSET('Input data (2)'!AY$126,'Input data (2)'!$BL$1-'Output data - DO NOT TOUCH (2)'!$CG16,0)/1000</f>
        <v>1.2629999999999999</v>
      </c>
      <c r="DA16" s="1">
        <f ca="1">OFFSET('Input data (2)'!BA$126,'Input data (2)'!$BL$1-'Output data - DO NOT TOUCH (2)'!$CG16,0)/1000</f>
        <v>2.2370000000000001</v>
      </c>
      <c r="DB16" s="1">
        <f ca="1">OFFSET('Input data (2)'!BB$126,'Input data (2)'!$BL$1-'Output data - DO NOT TOUCH (2)'!$CG16,0)/1000</f>
        <v>3.5</v>
      </c>
      <c r="DD16" s="1">
        <f ca="1">OFFSET('Input data (2)'!AN$126,'Input data (2)'!$BL$1-'Output data - DO NOT TOUCH (2)'!$CG16,0)</f>
        <v>99</v>
      </c>
      <c r="DE16" s="1">
        <f ca="1">OFFSET('Input data (2)'!AO$126,'Input data (2)'!$BL$1-'Output data - DO NOT TOUCH (2)'!$CG16,0)</f>
        <v>34</v>
      </c>
      <c r="DF16" s="1">
        <f ca="1">OFFSET('Input data (2)'!AP$126,'Input data (2)'!$BL$1-'Output data - DO NOT TOUCH (2)'!$CG16,0)</f>
        <v>133</v>
      </c>
      <c r="DG16" s="1"/>
      <c r="DH16" s="1">
        <f ca="1">OFFSET('Input data (2)'!AU$126,'Input data (2)'!$BL$1-'Output data - DO NOT TOUCH (2)'!$CG16,0)</f>
        <v>16</v>
      </c>
      <c r="DI16" s="1">
        <f ca="1">OFFSET('Input data (2)'!AV$126,'Input data (2)'!$BL$1-'Output data - DO NOT TOUCH (2)'!$CG16,0)</f>
        <v>0</v>
      </c>
      <c r="DJ16" s="1">
        <f ca="1">OFFSET('Input data (2)'!AW$126,'Input data (2)'!$BL$1-'Output data - DO NOT TOUCH (2)'!$CG16,0)</f>
        <v>20</v>
      </c>
      <c r="DK16" s="1">
        <f ca="1">OFFSET('Input data (2)'!AX$126,'Input data (2)'!$BL$1-'Output data - DO NOT TOUCH (2)'!$CG16,0)</f>
        <v>1</v>
      </c>
      <c r="DM16" s="1">
        <f ca="1">OFFSET('Input data (2)'!BI$126,'Input data (2)'!$BL$1-'Output data - DO NOT TOUCH (2)'!$CG16,0)</f>
        <v>285</v>
      </c>
      <c r="DN16" s="1">
        <f ca="1">OFFSET('Input data (2)'!BJ$126,'Input data (2)'!$BL$1-'Output data - DO NOT TOUCH (2)'!$CG16,0)</f>
        <v>209</v>
      </c>
      <c r="DO16" s="1">
        <f ca="1">OFFSET('Input data (2)'!BL$126,'Input data (2)'!$BL$1-'Output data - DO NOT TOUCH (2)'!$CG16,0)</f>
        <v>494</v>
      </c>
      <c r="DQ16" s="1">
        <f ca="1">OFFSET('Input data (2)'!BD$126,'Input data (2)'!$BL$1-'Output data - DO NOT TOUCH (2)'!$CG16,0)</f>
        <v>24</v>
      </c>
      <c r="DR16" s="1">
        <f ca="1">OFFSET('Input data (2)'!BE$126,'Input data (2)'!$BL$1-'Output data - DO NOT TOUCH (2)'!$CG16,0)</f>
        <v>17</v>
      </c>
      <c r="DS16" s="1">
        <f ca="1">OFFSET('Input data (2)'!BF$126,'Input data (2)'!$BL$1-'Output data - DO NOT TOUCH (2)'!$CG16,0)</f>
        <v>41</v>
      </c>
      <c r="DU16" s="1">
        <f ca="1">OFFSET('Input data (2)'!B$126,'Input data (2)'!$BL$1-'Output data - DO NOT TOUCH (2)'!$CG16-1,0)</f>
        <v>2006</v>
      </c>
      <c r="DV16" s="1" t="str">
        <f ca="1">OFFSET('Input data (2)'!C$126,'Input data (2)'!$BL$1-'Output data - DO NOT TOUCH (2)'!$CG16-1,0)</f>
        <v>Q1</v>
      </c>
      <c r="DW16" s="1" t="str">
        <f t="shared" ca="1" si="14"/>
        <v>06</v>
      </c>
      <c r="DX16" s="1" t="str">
        <f t="shared" ca="1" si="15"/>
        <v>Q1 06</v>
      </c>
      <c r="DY16" s="1">
        <f ca="1">OFFSET('Input data (2)'!W$126,'Input data (2)'!$BL$1-'Output data - DO NOT TOUCH (2)'!$CG16-1,0)/1000</f>
        <v>3.15</v>
      </c>
      <c r="DZ16" s="1">
        <f ca="1">OFFSET('Input data (2)'!Y$126,'Input data (2)'!$BL$1-'Output data - DO NOT TOUCH (2)'!$CG16-1,0)/1000</f>
        <v>13.132999999999999</v>
      </c>
      <c r="EA16" s="1">
        <f ca="1">OFFSET('Input data (2)'!Q$126,'Input data (2)'!$BL$1-'Output data - DO NOT TOUCH (2)'!$CG16-1,0)/1000</f>
        <v>16.283000000000001</v>
      </c>
      <c r="EC16" s="3" t="str">
        <f t="shared" ca="1" si="26"/>
        <v>Q3 11</v>
      </c>
      <c r="ED16" s="68" t="e">
        <f t="shared" ca="1" si="27"/>
        <v>#VALUE!</v>
      </c>
      <c r="EE16" s="68" t="e">
        <f t="shared" ca="1" si="28"/>
        <v>#VALUE!</v>
      </c>
      <c r="EF16" s="68" t="e">
        <f t="shared" ca="1" si="29"/>
        <v>#VALUE!</v>
      </c>
      <c r="EH16" s="68">
        <f t="shared" ca="1" si="30"/>
        <v>1.7384731670446023</v>
      </c>
      <c r="EI16" s="68">
        <f t="shared" ca="1" si="31"/>
        <v>5.4421768707482956</v>
      </c>
      <c r="EJ16" s="68">
        <f t="shared" ca="1" si="32"/>
        <v>7.1806500377928977</v>
      </c>
    </row>
    <row r="17" spans="1:140" x14ac:dyDescent="0.15">
      <c r="A17" s="1">
        <v>27</v>
      </c>
      <c r="B17" s="1">
        <v>28</v>
      </c>
      <c r="C17" s="1">
        <v>29</v>
      </c>
      <c r="D17" s="1">
        <v>26</v>
      </c>
      <c r="E17" s="1" t="str">
        <f>F17&amp;G17</f>
        <v>2003Q3</v>
      </c>
      <c r="F17" s="1">
        <f>F16</f>
        <v>2003</v>
      </c>
      <c r="G17" s="1" t="s">
        <v>3</v>
      </c>
      <c r="H17" s="1">
        <f>VLOOKUP($E17,'Input data (2)'!$A:$BL,'Output data - DO NOT TOUCH (2)'!H$71,FALSE)</f>
        <v>3314</v>
      </c>
      <c r="I17" s="1">
        <f>VLOOKUP($E17,'Input data (2)'!$A:$BL,'Output data - DO NOT TOUCH (2)'!I$71,FALSE)</f>
        <v>1075</v>
      </c>
      <c r="J17" s="1">
        <f>VLOOKUP($E17,'Input data (2)'!$A:$BL,'Output data - DO NOT TOUCH (2)'!J$71,FALSE)</f>
        <v>2239</v>
      </c>
      <c r="K17" s="1">
        <f>VLOOKUP($E17,'Input data (2)'!$A:$BL,'Output data - DO NOT TOUCH (2)'!K$71,FALSE)</f>
        <v>3419</v>
      </c>
      <c r="L17" s="1">
        <f>VLOOKUP($E17,'Input data (2)'!$A:$BL,'Output data - DO NOT TOUCH (2)'!L$71,FALSE)</f>
        <v>1137</v>
      </c>
      <c r="M17" s="1">
        <f>VLOOKUP($E17,'Input data (2)'!$A:$BL,'Output data - DO NOT TOUCH (2)'!M$71,FALSE)</f>
        <v>2282</v>
      </c>
      <c r="O17" s="119">
        <f ca="1">IF(AND('Input data (2)'!$C$2=4,$D6&gt;=0),OFFSET('Input data (2)'!O$126,'Input data (2)'!$BL$1-$D6,0),IF(AND('Input data (2)'!$C$2=3,$C6&gt;=0),OFFSET('Input data (2)'!O$126,'Input data (2)'!$BL$1-$C6,0),IF(AND('Input data (2)'!$C$2=2,$B6&gt;=0),OFFSET('Input data (2)'!O$126,'Input data (2)'!$BL$1-$B6,0),IF(AND('Input data (2)'!$C$2=1,$A6&gt;=0),OFFSET('Input data (2)'!O$126,'Input data (2)'!$BL$1-$A6,0),""))))</f>
        <v>0</v>
      </c>
      <c r="Q17" s="1">
        <f ca="1">IF(AND('Input data (2)'!$C$2=4,$D6&gt;=0),OFFSET('Input data (2)'!AC$126,'Input data (2)'!$BL$1-$D6,0),IF(AND('Input data (2)'!$C$2=3,$C6&gt;=0),OFFSET('Input data (2)'!AC$126,'Input data (2)'!$BL$1-$C6,0),IF(AND('Input data (2)'!$C$2=2,$B6&gt;=0),OFFSET('Input data (2)'!AC$126,'Input data (2)'!$BL$1-$B6,0),IF(AND('Input data (2)'!$C$2=1,$A6&gt;=0),OFFSET('Input data (2)'!AC$126,'Input data (2)'!$BL$1-$A6,0),""))))</f>
        <v>9291</v>
      </c>
      <c r="R17" s="1">
        <f ca="1">IF(AND('Input data (2)'!$C$2=4,$D6&gt;=0),OFFSET('Input data (2)'!Q$126,'Input data (2)'!$BL$1-$D6,0),IF(AND('Input data (2)'!$C$2=3,$C6&gt;=0),OFFSET('Input data (2)'!Q$126,'Input data (2)'!$BL$1-$C6,0),IF(AND('Input data (2)'!$C$2=2,$B6&gt;=0),OFFSET('Input data (2)'!Q$126,'Input data (2)'!$BL$1-$B6,0),IF(AND('Input data (2)'!$C$2=1,$A6&gt;=0),OFFSET('Input data (2)'!Q$126,'Input data (2)'!$BL$1-$A6,0),""))))</f>
        <v>7221</v>
      </c>
      <c r="S17" s="1" t="str">
        <f ca="1">IF(AND('Input data (2)'!$C$2=4,$D6&gt;=0),OFFSET('Input data (2)'!R$126,'Input data (2)'!$BL$1-$D6,0),IF(AND('Input data (2)'!$C$2=3,$C6&gt;=0),OFFSET('Input data (2)'!R$126,'Input data (2)'!$BL$1-$C6,0),IF(AND('Input data (2)'!$C$2=2,$B6&gt;=0),OFFSET('Input data (2)'!R$126,'Input data (2)'!$BL$1-$B6,0),IF(AND('Input data (2)'!$C$2=1,$A6&gt;=0),OFFSET('Input data (2)'!R$126,'Input data (2)'!$BL$1-$A6,0),""))))</f>
        <v>:</v>
      </c>
      <c r="T17" s="1">
        <f ca="1">IF(AND('Input data (2)'!$C$2=4,$D6&gt;=0),OFFSET('Input data (2)'!AA$126,'Input data (2)'!$BL$1-$D6,0),IF(AND('Input data (2)'!$C$2=3,$C6&gt;=0),OFFSET('Input data (2)'!AA$126,'Input data (2)'!$BL$1-$C6,0),IF(AND('Input data (2)'!$C$2=2,$B6&gt;=0),OFFSET('Input data (2)'!AA$126,'Input data (2)'!$BL$1-$B6,0),IF(AND('Input data (2)'!$C$2=1,$A6&gt;=0),OFFSET('Input data (2)'!AA$126,'Input data (2)'!$BL$1-$A6,0),""))))</f>
        <v>2070</v>
      </c>
      <c r="U17" s="1">
        <f ca="1">IF(AND('Input data (2)'!$C$2=4,$D6&gt;=0),OFFSET('Input data (2)'!AL$126,'Input data (2)'!$BL$1-$D6,0),IF(AND('Input data (2)'!$C$2=3,$C6&gt;=0),OFFSET('Input data (2)'!AL$126,'Input data (2)'!$BL$1-$C6,0),IF(AND('Input data (2)'!$C$2=2,$B6&gt;=0),OFFSET('Input data (2)'!AL$126,'Input data (2)'!$BL$1-$B6,0),IF(AND('Input data (2)'!$C$2=1,$A6&gt;=0),OFFSET('Input data (2)'!AL$126,'Input data (2)'!$BL$1-$A6,0),""))))</f>
        <v>9202</v>
      </c>
      <c r="V17" s="1">
        <f ca="1">IF(AND('Input data (2)'!$C$2=4,$D6&gt;=0),OFFSET('Input data (2)'!AJ$126,'Input data (2)'!$BL$1-$D6,0),IF(AND('Input data (2)'!$C$2=3,$C6&gt;=0),OFFSET('Input data (2)'!AJ$126,'Input data (2)'!$BL$1-$C6,0),IF(AND('Input data (2)'!$C$2=2,$B6&gt;=0),OFFSET('Input data (2)'!AJ$126,'Input data (2)'!$BL$1-$B6,0),IF(AND('Input data (2)'!$C$2=1,$A6&gt;=0),OFFSET('Input data (2)'!AJ$126,'Input data (2)'!$BL$1-$A6,0),""))))</f>
        <v>7245</v>
      </c>
      <c r="W17" s="1">
        <f ca="1">IF(AND('Input data (2)'!$C$2=4,$D6&gt;=0),OFFSET('Input data (2)'!AK$126,'Input data (2)'!$BL$1-$D6,0),IF(AND('Input data (2)'!$C$2=3,$C6&gt;=0),OFFSET('Input data (2)'!AK$126,'Input data (2)'!$BL$1-$C6,0),IF(AND('Input data (2)'!$C$2=2,$B6&gt;=0),OFFSET('Input data (2)'!AK$126,'Input data (2)'!$BL$1-$B6,0),IF(AND('Input data (2)'!$C$2=1,$A6&gt;=0),OFFSET('Input data (2)'!AK$126,'Input data (2)'!$BL$1-$A6,0),""))))</f>
        <v>1957</v>
      </c>
      <c r="Y17" s="1">
        <f ca="1">IF(AND('Input data (2)'!$C$2=4,$D6&gt;=0),OFFSET('Input data (2)'!Q$126,'Input data (2)'!$BL$1-$D6,0),IF(AND('Input data (2)'!$C$2=3,$C6&gt;=0),OFFSET('Input data (2)'!Q$126,'Input data (2)'!$BL$1-$C6,0),IF(AND('Input data (2)'!$C$2=2,$B6&gt;=0),OFFSET('Input data (2)'!Q$126,'Input data (2)'!$BL$1-$B6,0),IF(AND('Input data (2)'!$C$2=1,$A6&gt;=0),OFFSET('Input data (2)'!Q$126,'Input data (2)'!$BL$1-$A6,0),""))))</f>
        <v>7221</v>
      </c>
      <c r="Z17" s="1">
        <f ca="1">IF(AND('Input data (2)'!$C$2=4,$D6&gt;=0),OFFSET('Input data (2)'!S$126,'Input data (2)'!$BL$1-$D6,0),IF(AND('Input data (2)'!$C$2=3,$C6&gt;=0),OFFSET('Input data (2)'!S$126,'Input data (2)'!$BL$1-$C6,0),IF(AND('Input data (2)'!$C$2=2,$B6&gt;=0),OFFSET('Input data (2)'!S$126,'Input data (2)'!$BL$1-$B6,0),IF(AND('Input data (2)'!$C$2=1,$A6&gt;=0),OFFSET('Input data (2)'!S$126,'Input data (2)'!$BL$1-$A6,0),""))))</f>
        <v>5148</v>
      </c>
      <c r="AA17" s="1">
        <f ca="1">IF(AND('Input data (2)'!$C$2=4,$D6&gt;=0),OFFSET('Input data (2)'!T$126,'Input data (2)'!$BL$1-$D6,0),IF(AND('Input data (2)'!$C$2=3,$C6&gt;=0),OFFSET('Input data (2)'!T$126,'Input data (2)'!$BL$1-$C6,0),IF(AND('Input data (2)'!$C$2=2,$B6&gt;=0),OFFSET('Input data (2)'!T$126,'Input data (2)'!$BL$1-$B6,0),IF(AND('Input data (2)'!$C$2=1,$A6&gt;=0),OFFSET('Input data (2)'!T$126,'Input data (2)'!$BL$1-$A6,0),""))))</f>
        <v>71.292064810968014</v>
      </c>
      <c r="AB17" s="1">
        <f ca="1">IF(AND('Input data (2)'!$C$2=4,$D6&gt;=0),OFFSET('Input data (2)'!U$126,'Input data (2)'!$BL$1-$D6,0),IF(AND('Input data (2)'!$C$2=3,$C6&gt;=0),OFFSET('Input data (2)'!U$126,'Input data (2)'!$BL$1-$C6,0),IF(AND('Input data (2)'!$C$2=2,$B6&gt;=0),OFFSET('Input data (2)'!U$126,'Input data (2)'!$BL$1-$B6,0),IF(AND('Input data (2)'!$C$2=1,$A6&gt;=0),OFFSET('Input data (2)'!U$126,'Input data (2)'!$BL$1-$A6,0),""))))</f>
        <v>2073</v>
      </c>
      <c r="AC17" s="1">
        <f ca="1">IF(AND('Input data (2)'!$C$2=4,$D6&gt;=0),OFFSET('Input data (2)'!V$126,'Input data (2)'!$BL$1-$D6,0),IF(AND('Input data (2)'!$C$2=3,$C6&gt;=0),OFFSET('Input data (2)'!V$126,'Input data (2)'!$BL$1-$C6,0),IF(AND('Input data (2)'!$C$2=2,$B6&gt;=0),OFFSET('Input data (2)'!V$126,'Input data (2)'!$BL$1-$B6,0),IF(AND('Input data (2)'!$C$2=1,$A6&gt;=0),OFFSET('Input data (2)'!V$126,'Input data (2)'!$BL$1-$A6,0),""))))</f>
        <v>28.707935189031993</v>
      </c>
      <c r="AD17" s="1">
        <f ca="1">IF(AND('Input data (2)'!$C$2=4,$D6&gt;=0),OFFSET('Input data (2)'!Q$126,'Input data (2)'!$BL$1-$D6,0),IF(AND('Input data (2)'!$C$2=3,$C6&gt;=0),OFFSET('Input data (2)'!Q$126,'Input data (2)'!$BL$1-$C6,0),IF(AND('Input data (2)'!$C$2=2,$B6&gt;=0),OFFSET('Input data (2)'!Q$126,'Input data (2)'!$BL$1-$B6,0),IF(AND('Input data (2)'!$C$2=1,$A6&gt;=0),OFFSET('Input data (2)'!Q$126,'Input data (2)'!$BL$1-$A6,0),""))))</f>
        <v>7221</v>
      </c>
      <c r="AE17" s="1">
        <f ca="1">IF(AND('Input data (2)'!$C$2=4,$D6&gt;=0),OFFSET('Input data (2)'!W$126,'Input data (2)'!$BL$1-$D6,0),IF(AND('Input data (2)'!$C$2=3,$C6&gt;=0),OFFSET('Input data (2)'!W$126,'Input data (2)'!$BL$1-$C6,0),IF(AND('Input data (2)'!$C$2=2,$B6&gt;=0),OFFSET('Input data (2)'!W$126,'Input data (2)'!$BL$1-$B6,0),IF(AND('Input data (2)'!$C$2=1,$A6&gt;=0),OFFSET('Input data (2)'!W$126,'Input data (2)'!$BL$1-$A6,0),""))))</f>
        <v>2296</v>
      </c>
      <c r="AF17" s="1">
        <f ca="1">IF(AND('Input data (2)'!$C$2=4,$D6&gt;=0),OFFSET('Input data (2)'!X$126,'Input data (2)'!$BL$1-$D6,0),IF(AND('Input data (2)'!$C$2=3,$C6&gt;=0),OFFSET('Input data (2)'!X$126,'Input data (2)'!$BL$1-$C6,0),IF(AND('Input data (2)'!$C$2=2,$B6&gt;=0),OFFSET('Input data (2)'!X$126,'Input data (2)'!$BL$1-$B6,0),IF(AND('Input data (2)'!$C$2=1,$A6&gt;=0),OFFSET('Input data (2)'!X$126,'Input data (2)'!$BL$1-$A6,0),""))))</f>
        <v>31.79615011771223</v>
      </c>
      <c r="AG17" s="1">
        <f ca="1">IF(AND('Input data (2)'!$C$2=4,$D6&gt;=0),OFFSET('Input data (2)'!Y$126,'Input data (2)'!$BL$1-$D6,0),IF(AND('Input data (2)'!$C$2=3,$C6&gt;=0),OFFSET('Input data (2)'!Y$126,'Input data (2)'!$BL$1-$C6,0),IF(AND('Input data (2)'!$C$2=2,$B6&gt;=0),OFFSET('Input data (2)'!Y$126,'Input data (2)'!$BL$1-$B6,0),IF(AND('Input data (2)'!$C$2=1,$A6&gt;=0),OFFSET('Input data (2)'!Y$126,'Input data (2)'!$BL$1-$A6,0),""))))</f>
        <v>4925</v>
      </c>
      <c r="AH17" s="1">
        <f ca="1">IF(AND('Input data (2)'!$C$2=4,$D6&gt;=0),OFFSET('Input data (2)'!Z$126,'Input data (2)'!$BL$1-$D6,0),IF(AND('Input data (2)'!$C$2=3,$C6&gt;=0),OFFSET('Input data (2)'!Z$126,'Input data (2)'!$BL$1-$C6,0),IF(AND('Input data (2)'!$C$2=2,$B6&gt;=0),OFFSET('Input data (2)'!Z$126,'Input data (2)'!$BL$1-$B6,0),IF(AND('Input data (2)'!$C$2=1,$A6&gt;=0),OFFSET('Input data (2)'!Z$126,'Input data (2)'!$BL$1-$A6,0),""))))</f>
        <v>68.20384988228777</v>
      </c>
      <c r="AI17" s="3"/>
      <c r="AJ17" s="124">
        <f ca="1">IF(AND('Input data (2)'!$C$2=4,$D6&gt;=0),OFFSET('Input data (2)'!AF$126,'Input data (2)'!$BL$1-$D6,0),IF(AND('Input data (2)'!$C$2=3,$C6&gt;=0),OFFSET('Input data (2)'!AF$126,'Input data (2)'!$BL$1-$C6,0),IF(AND('Input data (2)'!$C$2=2,$B6&gt;=0),OFFSET('Input data (2)'!AF$126,'Input data (2)'!$BL$1-$B6,0),IF(AND('Input data (2)'!$C$2=1,$A6&gt;=0),OFFSET('Input data (2)'!AF$126,'Input data (2)'!$BL$1-$A6,0),""))))</f>
        <v>917</v>
      </c>
      <c r="AK17" s="124">
        <f ca="1">IF(AND('Input data (2)'!$C$2=4,$D6&gt;=0),OFFSET('Input data (2)'!AD$126,'Input data (2)'!$BL$1-$D6,0),IF(AND('Input data (2)'!$C$2=3,$C6&gt;=0),OFFSET('Input data (2)'!AD$126,'Input data (2)'!$BL$1-$C6,0),IF(AND('Input data (2)'!$C$2=2,$B6&gt;=0),OFFSET('Input data (2)'!AD$126,'Input data (2)'!$BL$1-$B6,0),IF(AND('Input data (2)'!$C$2=1,$A6&gt;=0),OFFSET('Input data (2)'!AD$126,'Input data (2)'!$BL$1-$A6,0),""))))</f>
        <v>885</v>
      </c>
      <c r="AL17" s="124">
        <f ca="1">IF(AND('Input data (2)'!$C$2=4,$D6&gt;=0),OFFSET('Input data (2)'!AE$126,'Input data (2)'!$BL$1-$D6,0),IF(AND('Input data (2)'!$C$2=3,$C6&gt;=0),OFFSET('Input data (2)'!AE$126,'Input data (2)'!$BL$1-$C6,0),IF(AND('Input data (2)'!$C$2=2,$B6&gt;=0),OFFSET('Input data (2)'!AE$126,'Input data (2)'!$BL$1-$B6,0),IF(AND('Input data (2)'!$C$2=1,$A6&gt;=0),OFFSET('Input data (2)'!AE$126,'Input data (2)'!$BL$1-$A6,0),""))))</f>
        <v>32</v>
      </c>
      <c r="AW17" s="1">
        <f ca="1">IF(AND('Input data (2)'!$C$2=4,$D6&gt;=0),OFFSET('Input data (2)'!L$126,'Input data (2)'!$BL$1-$D6,0),IF(AND('Input data (2)'!$C$2=3,$C6&gt;=0),OFFSET('Input data (2)'!L$126,'Input data (2)'!$BL$1-$C6,0),IF(AND('Input data (2)'!$C$2=2,$B6&gt;=0),OFFSET('Input data (2)'!L$126,'Input data (2)'!$BL$1-$B6,0),IF(AND('Input data (2)'!$C$2=1,$A6&gt;=0),OFFSET('Input data (2)'!L$126,'Input data (2)'!$BL$1-$A6,0),""))))</f>
        <v>334</v>
      </c>
      <c r="AX17" s="1">
        <f ca="1">IF(AND('Input data (2)'!$C$2=4,$D6&gt;=0),OFFSET('Input data (2)'!M$126,'Input data (2)'!$BL$1-$D6,0),IF(AND('Input data (2)'!$C$2=3,$C6&gt;=0),OFFSET('Input data (2)'!M$126,'Input data (2)'!$BL$1-$C6,0),IF(AND('Input data (2)'!$C$2=2,$B6&gt;=0),OFFSET('Input data (2)'!M$126,'Input data (2)'!$BL$1-$B6,0),IF(AND('Input data (2)'!$C$2=1,$A6&gt;=0),OFFSET('Input data (2)'!M$126,'Input data (2)'!$BL$1-$A6,0),""))))</f>
        <v>154</v>
      </c>
      <c r="AY17" s="1">
        <f ca="1">IF(AND('Input data (2)'!$C$2=4,$D6&gt;=0),OFFSET('Input data (2)'!N$126,'Input data (2)'!$BL$1-$D6,0),IF(AND('Input data (2)'!$C$2=3,$C6&gt;=0),OFFSET('Input data (2)'!N$126,'Input data (2)'!$BL$1-$C6,0),IF(AND('Input data (2)'!$C$2=2,$B6&gt;=0),OFFSET('Input data (2)'!N$126,'Input data (2)'!$BL$1-$B6,0),IF(AND('Input data (2)'!$C$2=1,$A6&gt;=0),OFFSET('Input data (2)'!N$126,'Input data (2)'!$BL$1-$A6,0),""))))</f>
        <v>14</v>
      </c>
      <c r="AZ17" s="1">
        <f ca="1">IF(AND('Input data (2)'!$C$2=4,$D6&gt;=0),OFFSET('Input data (2)'!P$126,'Input data (2)'!$BL$1-$D6,0),IF(AND('Input data (2)'!$C$2=3,$C6&gt;=0),OFFSET('Input data (2)'!P$126,'Input data (2)'!$BL$1-$C6,0),IF(AND('Input data (2)'!$C$2=2,$B6&gt;=0),OFFSET('Input data (2)'!P$126,'Input data (2)'!$BL$1-$B6,0),IF(AND('Input data (2)'!$C$2=1,$A6&gt;=0),OFFSET('Input data (2)'!P$126,'Input data (2)'!$BL$1-$A6,0),""))))</f>
        <v>171</v>
      </c>
      <c r="BB17" s="1">
        <f ca="1">IF(AND('Input data (2)'!$C$2=4,$D6&gt;=0),OFFSET('Input data (2)'!BB$126,'Input data (2)'!$BL$1-$D6,0),IF(AND('Input data (2)'!$C$2=3,$C6&gt;=0),OFFSET('Input data (2)'!BB$126,'Input data (2)'!$BL$1-$C6,0),IF(AND('Input data (2)'!$C$2=2,$B6&gt;=0),OFFSET('Input data (2)'!BB$126,'Input data (2)'!$BL$1-$B6,0),IF(AND('Input data (2)'!$C$2=1,$A6&gt;=0),OFFSET('Input data (2)'!BB$126,'Input data (2)'!$BL$1-$A6,0),""))))</f>
        <v>2367</v>
      </c>
      <c r="BC17" s="1">
        <f ca="1">IF(AND('Input data (2)'!$C$2=4,$D6&gt;=0),OFFSET('Input data (2)'!AY$126,'Input data (2)'!$BL$1-$D6,0),IF(AND('Input data (2)'!$C$2=3,$C6&gt;=0),OFFSET('Input data (2)'!AY$126,'Input data (2)'!$BL$1-$C6,0),IF(AND('Input data (2)'!$C$2=2,$B6&gt;=0),OFFSET('Input data (2)'!AY$126,'Input data (2)'!$BL$1-$B6,0),IF(AND('Input data (2)'!$C$2=1,$A6&gt;=0),OFFSET('Input data (2)'!AY$126,'Input data (2)'!$BL$1-$A6,0),""))))</f>
        <v>845</v>
      </c>
      <c r="BD17" s="1" t="str">
        <f ca="1">IF(AND('Input data (2)'!$C$2=4,$D6&gt;=0),OFFSET('Input data (2)'!AZ$126,'Input data (2)'!$BL$1-$D6,0),IF(AND('Input data (2)'!$C$2=3,$C6&gt;=0),OFFSET('Input data (2)'!AZ$126,'Input data (2)'!$BL$1-$C6,0),IF(AND('Input data (2)'!$C$2=2,$B6&gt;=0),OFFSET('Input data (2)'!AZ$126,'Input data (2)'!$BL$1-$B6,0),IF(AND('Input data (2)'!$C$2=1,$A6&gt;=0),OFFSET('Input data (2)'!AZ$126,'Input data (2)'!$BL$1-$A6,0),""))))</f>
        <v>:</v>
      </c>
      <c r="BE17" s="1">
        <f ca="1">IF(AND('Input data (2)'!$C$2=4,$D6&gt;=0),OFFSET('Input data (2)'!BA$126,'Input data (2)'!$BL$1-$D6,0),IF(AND('Input data (2)'!$C$2=3,$C6&gt;=0),OFFSET('Input data (2)'!BA$126,'Input data (2)'!$BL$1-$C6,0),IF(AND('Input data (2)'!$C$2=2,$B6&gt;=0),OFFSET('Input data (2)'!BA$126,'Input data (2)'!$BL$1-$B6,0),IF(AND('Input data (2)'!$C$2=1,$A6&gt;=0),OFFSET('Input data (2)'!BA$126,'Input data (2)'!$BL$1-$A6,0),""))))</f>
        <v>1522</v>
      </c>
      <c r="BF17" s="1">
        <f ca="1">IF(AND('Input data (2)'!$C$2=4,$D6&gt;=0),OFFSET('Input data (2)'!AP$126,'Input data (2)'!$BL$1-$D6,0),IF(AND('Input data (2)'!$C$2=3,$C6&gt;=0),OFFSET('Input data (2)'!AP$126,'Input data (2)'!$BL$1-$C6,0),IF(AND('Input data (2)'!$C$2=2,$B6&gt;=0),OFFSET('Input data (2)'!AP$126,'Input data (2)'!$BL$1-$B6,0),IF(AND('Input data (2)'!$C$2=1,$A6&gt;=0),OFFSET('Input data (2)'!AP$126,'Input data (2)'!$BL$1-$A6,0),""))))</f>
        <v>154</v>
      </c>
      <c r="BG17" s="1">
        <f ca="1">IF(AND('Input data (2)'!$C$2=4,$D6&gt;=0),OFFSET('Input data (2)'!AN$126,'Input data (2)'!$BL$1-$D6,0),IF(AND('Input data (2)'!$C$2=3,$C6&gt;=0),OFFSET('Input data (2)'!AN$126,'Input data (2)'!$BL$1-$C6,0),IF(AND('Input data (2)'!$C$2=2,$B6&gt;=0),OFFSET('Input data (2)'!AN$126,'Input data (2)'!$BL$1-$B6,0),IF(AND('Input data (2)'!$C$2=1,$A6&gt;=0),OFFSET('Input data (2)'!AN$126,'Input data (2)'!$BL$1-$A6,0),""))))</f>
        <v>109</v>
      </c>
      <c r="BH17" s="1">
        <f ca="1">IF(AND('Input data (2)'!$C$2=4,$D6&gt;=0),OFFSET('Input data (2)'!AO$126,'Input data (2)'!$BL$1-$D6,0),IF(AND('Input data (2)'!$C$2=3,$C6&gt;=0),OFFSET('Input data (2)'!AO$126,'Input data (2)'!$BL$1-$C6,0),IF(AND('Input data (2)'!$C$2=2,$B6&gt;=0),OFFSET('Input data (2)'!AO$126,'Input data (2)'!$BL$1-$B6,0),IF(AND('Input data (2)'!$C$2=1,$A6&gt;=0),OFFSET('Input data (2)'!AO$126,'Input data (2)'!$BL$1-$A6,0),""))))</f>
        <v>45</v>
      </c>
      <c r="BJ17" s="1">
        <f ca="1">IF(AND('Input data (2)'!$C$2=4,$D6&gt;=0),OFFSET('Input data (2)'!AU$126,'Input data (2)'!$BL$1-$D6,0),IF(AND('Input data (2)'!$C$2=3,$C6&gt;=0),OFFSET('Input data (2)'!AU$126,'Input data (2)'!$BL$1-$C6,0),IF(AND('Input data (2)'!$C$2=2,$B6&gt;=0),OFFSET('Input data (2)'!AU$126,'Input data (2)'!$BL$1-$B6,0),IF(AND('Input data (2)'!$C$2=1,$A6&gt;=0),OFFSET('Input data (2)'!AU$126,'Input data (2)'!$BL$1-$A6,0),""))))</f>
        <v>36</v>
      </c>
      <c r="BK17" s="1">
        <f ca="1">IF(AND('Input data (2)'!$C$2=4,$D6&gt;=0),OFFSET('Input data (2)'!AV$126,'Input data (2)'!$BL$1-$D6,0),IF(AND('Input data (2)'!$C$2=3,$C6&gt;=0),OFFSET('Input data (2)'!AV$126,'Input data (2)'!$BL$1-$C6,0),IF(AND('Input data (2)'!$C$2=2,$B6&gt;=0),OFFSET('Input data (2)'!AV$126,'Input data (2)'!$BL$1-$B6,0),IF(AND('Input data (2)'!$C$2=1,$A6&gt;=0),OFFSET('Input data (2)'!AV$126,'Input data (2)'!$BL$1-$A6,0),""))))</f>
        <v>1</v>
      </c>
      <c r="BL17" s="1">
        <f ca="1">IF(AND('Input data (2)'!$C$2=4,$D6&gt;=0),OFFSET('Input data (2)'!AW$126,'Input data (2)'!$BL$1-$D6,0),IF(AND('Input data (2)'!$C$2=3,$C6&gt;=0),OFFSET('Input data (2)'!AW$126,'Input data (2)'!$BL$1-$C6,0),IF(AND('Input data (2)'!$C$2=2,$B6&gt;=0),OFFSET('Input data (2)'!AW$126,'Input data (2)'!$BL$1-$B6,0),IF(AND('Input data (2)'!$C$2=1,$A6&gt;=0),OFFSET('Input data (2)'!AW$126,'Input data (2)'!$BL$1-$A6,0),""))))</f>
        <v>1</v>
      </c>
      <c r="BM17" s="1">
        <f ca="1">IF(AND('Input data (2)'!$C$2=4,$D6&gt;=0),OFFSET('Input data (2)'!AX$126,'Input data (2)'!$BL$1-$D6,0),IF(AND('Input data (2)'!$C$2=3,$C6&gt;=0),OFFSET('Input data (2)'!AX$126,'Input data (2)'!$BL$1-$C6,0),IF(AND('Input data (2)'!$C$2=2,$B6&gt;=0),OFFSET('Input data (2)'!AX$126,'Input data (2)'!$BL$1-$B6,0),IF(AND('Input data (2)'!$C$2=1,$A6&gt;=0),OFFSET('Input data (2)'!AX$126,'Input data (2)'!$BL$1-$A6,0),""))))</f>
        <v>1</v>
      </c>
      <c r="BO17" s="1">
        <f ca="1">IF(AND('Input data (2)'!$C$2=4,$D6&gt;=0),OFFSET('Input data (2)'!BL$126,'Input data (2)'!$BL$1-$D6,0),IF(AND('Input data (2)'!$C$2=3,$C6&gt;=0),OFFSET('Input data (2)'!BL$126,'Input data (2)'!$BL$1-$C6,0),IF(AND('Input data (2)'!$C$2=2,$B6&gt;=0),OFFSET('Input data (2)'!BL$126,'Input data (2)'!$BL$1-$B6,0),IF(AND('Input data (2)'!$C$2=1,$A6&gt;=0),OFFSET('Input data (2)'!BL$126,'Input data (2)'!$BL$1-$A6,0),""))))</f>
        <v>205</v>
      </c>
      <c r="BP17" s="1">
        <f ca="1">IF(AND('Input data (2)'!$C$2=4,$D6&gt;=0),OFFSET('Input data (2)'!BI$126,'Input data (2)'!$BL$1-$D6,0),IF(AND('Input data (2)'!$C$2=3,$C6&gt;=0),OFFSET('Input data (2)'!BI$126,'Input data (2)'!$BL$1-$C6,0),IF(AND('Input data (2)'!$C$2=2,$B6&gt;=0),OFFSET('Input data (2)'!BI$126,'Input data (2)'!$BL$1-$B6,0),IF(AND('Input data (2)'!$C$2=1,$A6&gt;=0),OFFSET('Input data (2)'!BI$126,'Input data (2)'!$BL$1-$A6,0),""))))</f>
        <v>109</v>
      </c>
      <c r="BQ17" s="1" t="str">
        <f ca="1">IF(AND('Input data (2)'!$C$2=4,$D6&gt;=0),OFFSET('Input data (2)'!BK$126,'Input data (2)'!$BL$1-$D6,0),IF(AND('Input data (2)'!$C$2=3,$C6&gt;=0),OFFSET('Input data (2)'!BK$126,'Input data (2)'!$BL$1-$C6,0),IF(AND('Input data (2)'!$C$2=2,$B6&gt;=0),OFFSET('Input data (2)'!BK$126,'Input data (2)'!$BL$1-$B6,0),IF(AND('Input data (2)'!$C$2=1,$A6&gt;=0),OFFSET('Input data (2)'!BK$126,'Input data (2)'!$BL$1-$A6,0),""))))</f>
        <v>..</v>
      </c>
      <c r="BR17" s="1">
        <f ca="1">IF(AND('Input data (2)'!$C$2=4,$D6&gt;=0),OFFSET('Input data (2)'!BJ$126,'Input data (2)'!$BL$1-$D6,0),IF(AND('Input data (2)'!$C$2=3,$C6&gt;=0),OFFSET('Input data (2)'!BJ$126,'Input data (2)'!$BL$1-$C6,0),IF(AND('Input data (2)'!$C$2=2,$B6&gt;=0),OFFSET('Input data (2)'!BJ$126,'Input data (2)'!$BL$1-$B6,0),IF(AND('Input data (2)'!$C$2=1,$A6&gt;=0),OFFSET('Input data (2)'!BJ$126,'Input data (2)'!$BL$1-$A6,0),""))))</f>
        <v>96</v>
      </c>
      <c r="BS17" s="1">
        <f ca="1">IF(AND('Input data (2)'!$C$2=4,$D6&gt;=0),OFFSET('Input data (2)'!BF$126,'Input data (2)'!$BL$1-$D6,0),IF(AND('Input data (2)'!$C$2=3,$C6&gt;=0),OFFSET('Input data (2)'!BF$126,'Input data (2)'!$BL$1-$C6,0),IF(AND('Input data (2)'!$C$2=2,$B6&gt;=0),OFFSET('Input data (2)'!BF$126,'Input data (2)'!$BL$1-$B6,0),IF(AND('Input data (2)'!$C$2=1,$A6&gt;=0),OFFSET('Input data (2)'!BF$126,'Input data (2)'!$BL$1-$A6,0),""))))</f>
        <v>29</v>
      </c>
      <c r="BT17" s="1">
        <f ca="1">IF(AND('Input data (2)'!$C$2=4,$D6&gt;=0),OFFSET('Input data (2)'!BD$126,'Input data (2)'!$BL$1-$D6,0),IF(AND('Input data (2)'!$C$2=3,$C6&gt;=0),OFFSET('Input data (2)'!BD$126,'Input data (2)'!$BL$1-$C6,0),IF(AND('Input data (2)'!$C$2=2,$B6&gt;=0),OFFSET('Input data (2)'!BD$126,'Input data (2)'!$BL$1-$B6,0),IF(AND('Input data (2)'!$C$2=1,$A6&gt;=0),OFFSET('Input data (2)'!BD$126,'Input data (2)'!$BL$1-$A6,0),""))))</f>
        <v>19</v>
      </c>
      <c r="BU17" s="1">
        <f ca="1">IF(AND('Input data (2)'!$C$2=4,$D6&gt;=0),OFFSET('Input data (2)'!BE$126,'Input data (2)'!$BL$1-$D6,0),IF(AND('Input data (2)'!$C$2=3,$C6&gt;=0),OFFSET('Input data (2)'!BE$126,'Input data (2)'!$BL$1-$C6,0),IF(AND('Input data (2)'!$C$2=2,$B6&gt;=0),OFFSET('Input data (2)'!BE$126,'Input data (2)'!$BL$1-$B6,0),IF(AND('Input data (2)'!$C$2=1,$A6&gt;=0),OFFSET('Input data (2)'!BE$126,'Input data (2)'!$BL$1-$A6,0),""))))</f>
        <v>10</v>
      </c>
      <c r="BW17" s="7">
        <f ca="1">IF(AND('Input data (2)'!$C$2=4,$D6&gt;=0),OFFSET('Input data (2)'!J$126,'Input data (2)'!$BL$1-$D6,0),IF(AND('Input data (2)'!$C$2=3,$C6&gt;=0),OFFSET('Input data (2)'!J$126,'Input data (2)'!$BL$1-$C6,0),IF(AND('Input data (2)'!$C$2=2,$B6&gt;=0),OFFSET('Input data (2)'!J$126,'Input data (2)'!$BL$1-$B6,0),IF(AND('Input data (2)'!$C$2=1,$A6&gt;=0),OFFSET('Input data (2)'!J$126,'Input data (2)'!$BL$1-$A6,0),""))))</f>
        <v>0.97463053236871744</v>
      </c>
      <c r="BX17" s="7">
        <f ca="1">IF(AND('Input data (2)'!$C$2=4,$D6&gt;=0),OFFSET('Input data (2)'!K$126,'Input data (2)'!$BL$1-$D6,0),IF(AND('Input data (2)'!$C$2=3,$C6&gt;=0),OFFSET('Input data (2)'!K$126,'Input data (2)'!$BL$1-$C6,0),IF(AND('Input data (2)'!$C$2=2,$B6&gt;=0),OFFSET('Input data (2)'!K$126,'Input data (2)'!$BL$1-$B6,0),IF(AND('Input data (2)'!$C$2=1,$A6&gt;=0),OFFSET('Input data (2)'!K$126,'Input data (2)'!$BL$1-$A6,0),""))))</f>
        <v>0.88413937513891172</v>
      </c>
      <c r="BY17" s="7">
        <f ca="1">IF(AND('Input data (2)'!$C$2=4,$D6&gt;=0),OFFSET('Input data (2)'!AS$126,'Input data (2)'!$BL$1-$D6,0),IF(AND('Input data (2)'!$C$2=3,$C6&gt;=0),OFFSET('Input data (2)'!AS$126,'Input data (2)'!$BL$1-$C6,0),IF(AND('Input data (2)'!$C$2=2,$B6&gt;=0),OFFSET('Input data (2)'!AS$126,'Input data (2)'!$BL$1-$B6,0),IF(AND('Input data (2)'!$C$2=1,$A6&gt;=0),OFFSET('Input data (2)'!AS$126,'Input data (2)'!$BL$1-$A6,0),""))))</f>
        <v>0.77745253226596045</v>
      </c>
      <c r="BZ17" s="7">
        <f ca="1">IF(AND('Input data (2)'!$C$2=4,$D6&gt;=0),OFFSET('Input data (2)'!AT$126,'Input data (2)'!$BL$1-$D6,0),IF(AND('Input data (2)'!$C$2=3,$C6&gt;=0),OFFSET('Input data (2)'!AT$126,'Input data (2)'!$BL$1-$C6,0),IF(AND('Input data (2)'!$C$2=2,$B6&gt;=0),OFFSET('Input data (2)'!AT$126,'Input data (2)'!$BL$1-$B6,0),IF(AND('Input data (2)'!$C$2=1,$A6&gt;=0),OFFSET('Input data (2)'!AT$126,'Input data (2)'!$BL$1-$A6,0),""))))</f>
        <v>0.71014097168057067</v>
      </c>
      <c r="CB17" s="122"/>
      <c r="CC17" s="122"/>
      <c r="CD17" s="122"/>
      <c r="CE17" s="122"/>
      <c r="CG17" s="1">
        <v>27</v>
      </c>
      <c r="CI17" s="1">
        <f t="shared" ca="1" si="24"/>
        <v>2006</v>
      </c>
      <c r="CJ17" s="1" t="str">
        <f t="shared" si="25"/>
        <v>Q3</v>
      </c>
      <c r="CK17" s="1" t="str">
        <f t="shared" ca="1" si="12"/>
        <v>06</v>
      </c>
      <c r="CL17" s="1" t="str">
        <f t="shared" ca="1" si="13"/>
        <v>Q3 06</v>
      </c>
      <c r="CM17" s="1">
        <f ca="1">OFFSET('Input data (2)'!AJ$126,'Input data (2)'!$BL$1-'Output data - DO NOT TOUCH (2)'!$CG17,0)/1000</f>
        <v>15.657</v>
      </c>
      <c r="CN17" s="1">
        <f ca="1">OFFSET('Input data (2)'!AK$126,'Input data (2)'!$BL$1-'Output data - DO NOT TOUCH (2)'!$CG17,0)/1000</f>
        <v>12.137</v>
      </c>
      <c r="CO17" s="1">
        <f ca="1">OFFSET('Input data (2)'!AL$126,'Input data (2)'!$BL$1-'Output data - DO NOT TOUCH (2)'!$CG17,0)/1000</f>
        <v>27.794</v>
      </c>
      <c r="CP17" s="1"/>
      <c r="CQ17" s="1">
        <f ca="1">OFFSET('Input data (2)'!AG$126,'Input data (2)'!$BL$1-'Output data - DO NOT TOUCH (2)'!$CG17,0)/1000</f>
        <v>1.353</v>
      </c>
      <c r="CR17" s="1">
        <f ca="1">OFFSET('Input data (2)'!AH$126,'Input data (2)'!$BL$1-'Output data - DO NOT TOUCH (2)'!$CG17,0)/1000</f>
        <v>1.919</v>
      </c>
      <c r="CS17" s="1">
        <f ca="1">OFFSET('Input data (2)'!AI$126,'Input data (2)'!$BL$1-'Output data - DO NOT TOUCH (2)'!$CG17,0)/1000</f>
        <v>3.2719999999999998</v>
      </c>
      <c r="CT17" s="1"/>
      <c r="CU17" s="1">
        <f ca="1">OFFSET('Input data (2)'!L$126,'Input data (2)'!$BL$1-'Output data - DO NOT TOUCH (2)'!$CG17,0)</f>
        <v>93</v>
      </c>
      <c r="CV17" s="1">
        <f ca="1">OFFSET('Input data (2)'!M$126,'Input data (2)'!$BL$1-'Output data - DO NOT TOUCH (2)'!$CG17,0)</f>
        <v>0</v>
      </c>
      <c r="CW17" s="67">
        <f ca="1">OFFSET('Input data (2)'!N$126,'Input data (2)'!$BL$1-'Output data - DO NOT TOUCH (2)'!$CG17,0)</f>
        <v>675</v>
      </c>
      <c r="CX17" s="1">
        <f ca="1">OFFSET('Input data (2)'!P$126,'Input data (2)'!$BL$1-'Output data - DO NOT TOUCH (2)'!$CG17,0)</f>
        <v>157</v>
      </c>
      <c r="CY17" s="1"/>
      <c r="CZ17" s="1">
        <f ca="1">OFFSET('Input data (2)'!AY$126,'Input data (2)'!$BL$1-'Output data - DO NOT TOUCH (2)'!$CG17,0)/1000</f>
        <v>1.4890000000000001</v>
      </c>
      <c r="DA17" s="1">
        <f ca="1">OFFSET('Input data (2)'!BA$126,'Input data (2)'!$BL$1-'Output data - DO NOT TOUCH (2)'!$CG17,0)/1000</f>
        <v>2.073</v>
      </c>
      <c r="DB17" s="1">
        <f ca="1">OFFSET('Input data (2)'!BB$126,'Input data (2)'!$BL$1-'Output data - DO NOT TOUCH (2)'!$CG17,0)/1000</f>
        <v>3.5619999999999998</v>
      </c>
      <c r="DD17" s="1">
        <f ca="1">OFFSET('Input data (2)'!AN$126,'Input data (2)'!$BL$1-'Output data - DO NOT TOUCH (2)'!$CG17,0)</f>
        <v>132</v>
      </c>
      <c r="DE17" s="1">
        <f ca="1">OFFSET('Input data (2)'!AO$126,'Input data (2)'!$BL$1-'Output data - DO NOT TOUCH (2)'!$CG17,0)</f>
        <v>24</v>
      </c>
      <c r="DF17" s="1">
        <f ca="1">OFFSET('Input data (2)'!AP$126,'Input data (2)'!$BL$1-'Output data - DO NOT TOUCH (2)'!$CG17,0)</f>
        <v>156</v>
      </c>
      <c r="DG17" s="1"/>
      <c r="DH17" s="1">
        <f ca="1">OFFSET('Input data (2)'!AU$126,'Input data (2)'!$BL$1-'Output data - DO NOT TOUCH (2)'!$CG17,0)</f>
        <v>3</v>
      </c>
      <c r="DI17" s="1">
        <f ca="1">OFFSET('Input data (2)'!AV$126,'Input data (2)'!$BL$1-'Output data - DO NOT TOUCH (2)'!$CG17,0)</f>
        <v>0</v>
      </c>
      <c r="DJ17" s="1">
        <f ca="1">OFFSET('Input data (2)'!AW$126,'Input data (2)'!$BL$1-'Output data - DO NOT TOUCH (2)'!$CG17,0)</f>
        <v>18</v>
      </c>
      <c r="DK17" s="1">
        <f ca="1">OFFSET('Input data (2)'!AX$126,'Input data (2)'!$BL$1-'Output data - DO NOT TOUCH (2)'!$CG17,0)</f>
        <v>1</v>
      </c>
      <c r="DM17" s="1">
        <f ca="1">OFFSET('Input data (2)'!BI$126,'Input data (2)'!$BL$1-'Output data - DO NOT TOUCH (2)'!$CG17,0)</f>
        <v>241</v>
      </c>
      <c r="DN17" s="1">
        <f ca="1">OFFSET('Input data (2)'!BJ$126,'Input data (2)'!$BL$1-'Output data - DO NOT TOUCH (2)'!$CG17,0)</f>
        <v>184</v>
      </c>
      <c r="DO17" s="1">
        <f ca="1">OFFSET('Input data (2)'!BL$126,'Input data (2)'!$BL$1-'Output data - DO NOT TOUCH (2)'!$CG17,0)</f>
        <v>425</v>
      </c>
      <c r="DQ17" s="1">
        <f ca="1">OFFSET('Input data (2)'!BD$126,'Input data (2)'!$BL$1-'Output data - DO NOT TOUCH (2)'!$CG17,0)</f>
        <v>15</v>
      </c>
      <c r="DR17" s="1">
        <f ca="1">OFFSET('Input data (2)'!BE$126,'Input data (2)'!$BL$1-'Output data - DO NOT TOUCH (2)'!$CG17,0)</f>
        <v>13</v>
      </c>
      <c r="DS17" s="1">
        <f ca="1">OFFSET('Input data (2)'!BF$126,'Input data (2)'!$BL$1-'Output data - DO NOT TOUCH (2)'!$CG17,0)</f>
        <v>28</v>
      </c>
      <c r="DU17" s="1">
        <f ca="1">OFFSET('Input data (2)'!B$126,'Input data (2)'!$BL$1-'Output data - DO NOT TOUCH (2)'!$CG17-1,0)</f>
        <v>2006</v>
      </c>
      <c r="DV17" s="1" t="str">
        <f ca="1">OFFSET('Input data (2)'!C$126,'Input data (2)'!$BL$1-'Output data - DO NOT TOUCH (2)'!$CG17-1,0)</f>
        <v>Q2</v>
      </c>
      <c r="DW17" s="1" t="str">
        <f t="shared" ca="1" si="14"/>
        <v>06</v>
      </c>
      <c r="DX17" s="1" t="str">
        <f t="shared" ca="1" si="15"/>
        <v>Q2 06</v>
      </c>
      <c r="DY17" s="1">
        <f ca="1">OFFSET('Input data (2)'!W$126,'Input data (2)'!$BL$1-'Output data - DO NOT TOUCH (2)'!$CG17-1,0)/1000</f>
        <v>2.8980000000000001</v>
      </c>
      <c r="DZ17" s="1">
        <f ca="1">OFFSET('Input data (2)'!Y$126,'Input data (2)'!$BL$1-'Output data - DO NOT TOUCH (2)'!$CG17-1,0)/1000</f>
        <v>12.590999999999999</v>
      </c>
      <c r="EA17" s="1">
        <f ca="1">OFFSET('Input data (2)'!Q$126,'Input data (2)'!$BL$1-'Output data - DO NOT TOUCH (2)'!$CG17-1,0)/1000</f>
        <v>15.489000000000001</v>
      </c>
      <c r="EC17" s="3" t="str">
        <f t="shared" ca="1" si="26"/>
        <v>Q4 11</v>
      </c>
      <c r="ED17" s="68" t="e">
        <f t="shared" ca="1" si="27"/>
        <v>#VALUE!</v>
      </c>
      <c r="EE17" s="68" t="e">
        <f t="shared" ca="1" si="28"/>
        <v>#VALUE!</v>
      </c>
      <c r="EF17" s="68" t="e">
        <f t="shared" ca="1" si="29"/>
        <v>#VALUE!</v>
      </c>
      <c r="EH17" s="68">
        <f t="shared" ca="1" si="30"/>
        <v>5.6014003500875198</v>
      </c>
      <c r="EI17" s="68">
        <f t="shared" ca="1" si="31"/>
        <v>1.7754438609652379</v>
      </c>
      <c r="EJ17" s="68">
        <f t="shared" ca="1" si="32"/>
        <v>7.3768442110527577</v>
      </c>
    </row>
    <row r="18" spans="1:140" x14ac:dyDescent="0.15">
      <c r="A18" s="1">
        <v>26</v>
      </c>
      <c r="B18" s="1">
        <v>27</v>
      </c>
      <c r="C18" s="1">
        <v>28</v>
      </c>
      <c r="D18" s="1">
        <v>25</v>
      </c>
      <c r="E18" s="1" t="str">
        <f>F18&amp;G18</f>
        <v>2003Q4</v>
      </c>
      <c r="F18" s="1">
        <f>F17</f>
        <v>2003</v>
      </c>
      <c r="G18" s="1" t="s">
        <v>4</v>
      </c>
      <c r="H18" s="1">
        <f>VLOOKUP($E18,'Input data (2)'!$A:$BL,'Output data - DO NOT TOUCH (2)'!H$71,FALSE)</f>
        <v>3306</v>
      </c>
      <c r="I18" s="1">
        <f>VLOOKUP($E18,'Input data (2)'!$A:$BL,'Output data - DO NOT TOUCH (2)'!I$71,FALSE)</f>
        <v>1104</v>
      </c>
      <c r="J18" s="1">
        <f>VLOOKUP($E18,'Input data (2)'!$A:$BL,'Output data - DO NOT TOUCH (2)'!J$71,FALSE)</f>
        <v>2202</v>
      </c>
      <c r="K18" s="1">
        <f>VLOOKUP($E18,'Input data (2)'!$A:$BL,'Output data - DO NOT TOUCH (2)'!K$71,FALSE)</f>
        <v>3343</v>
      </c>
      <c r="L18" s="1">
        <f>VLOOKUP($E18,'Input data (2)'!$A:$BL,'Output data - DO NOT TOUCH (2)'!L$71,FALSE)</f>
        <v>1107</v>
      </c>
      <c r="M18" s="1">
        <f>VLOOKUP($E18,'Input data (2)'!$A:$BL,'Output data - DO NOT TOUCH (2)'!M$71,FALSE)</f>
        <v>2236</v>
      </c>
      <c r="O18" s="119">
        <f ca="1">IF(AND('Input data (2)'!$C$2=4,$D7&gt;=0),OFFSET('Input data (2)'!O$126,'Input data (2)'!$BL$1-$D7,0),IF(AND('Input data (2)'!$C$2=3,$C7&gt;=0),OFFSET('Input data (2)'!O$126,'Input data (2)'!$BL$1-$C7,0),IF(AND('Input data (2)'!$C$2=2,$B7&gt;=0),OFFSET('Input data (2)'!O$126,'Input data (2)'!$BL$1-$B7,0),IF(AND('Input data (2)'!$C$2=1,$A7&gt;=0),OFFSET('Input data (2)'!O$126,'Input data (2)'!$BL$1-$A7,0),""))))</f>
        <v>0</v>
      </c>
      <c r="Q18" s="1">
        <f ca="1">IF(AND('Input data (2)'!$C$2=4,$D7&gt;=0),OFFSET('Input data (2)'!AC$126,'Input data (2)'!$BL$1-$D7,0),IF(AND('Input data (2)'!$C$2=3,$C7&gt;=0),OFFSET('Input data (2)'!AC$126,'Input data (2)'!$BL$1-$C7,0),IF(AND('Input data (2)'!$C$2=2,$B7&gt;=0),OFFSET('Input data (2)'!AC$126,'Input data (2)'!$BL$1-$B7,0),IF(AND('Input data (2)'!$C$2=1,$A7&gt;=0),OFFSET('Input data (2)'!AC$126,'Input data (2)'!$BL$1-$A7,0),""))))</f>
        <v>8998</v>
      </c>
      <c r="R18" s="1">
        <f ca="1">IF(AND('Input data (2)'!$C$2=4,$D7&gt;=0),OFFSET('Input data (2)'!Q$126,'Input data (2)'!$BL$1-$D7,0),IF(AND('Input data (2)'!$C$2=3,$C7&gt;=0),OFFSET('Input data (2)'!Q$126,'Input data (2)'!$BL$1-$C7,0),IF(AND('Input data (2)'!$C$2=2,$B7&gt;=0),OFFSET('Input data (2)'!Q$126,'Input data (2)'!$BL$1-$B7,0),IF(AND('Input data (2)'!$C$2=1,$A7&gt;=0),OFFSET('Input data (2)'!Q$126,'Input data (2)'!$BL$1-$A7,0),""))))</f>
        <v>6940</v>
      </c>
      <c r="S18" s="1" t="str">
        <f ca="1">IF(AND('Input data (2)'!$C$2=4,$D7&gt;=0),OFFSET('Input data (2)'!R$126,'Input data (2)'!$BL$1-$D7,0),IF(AND('Input data (2)'!$C$2=3,$C7&gt;=0),OFFSET('Input data (2)'!R$126,'Input data (2)'!$BL$1-$C7,0),IF(AND('Input data (2)'!$C$2=2,$B7&gt;=0),OFFSET('Input data (2)'!R$126,'Input data (2)'!$BL$1-$B7,0),IF(AND('Input data (2)'!$C$2=1,$A7&gt;=0),OFFSET('Input data (2)'!R$126,'Input data (2)'!$BL$1-$A7,0),""))))</f>
        <v>:</v>
      </c>
      <c r="T18" s="1">
        <f ca="1">IF(AND('Input data (2)'!$C$2=4,$D7&gt;=0),OFFSET('Input data (2)'!AA$126,'Input data (2)'!$BL$1-$D7,0),IF(AND('Input data (2)'!$C$2=3,$C7&gt;=0),OFFSET('Input data (2)'!AA$126,'Input data (2)'!$BL$1-$C7,0),IF(AND('Input data (2)'!$C$2=2,$B7&gt;=0),OFFSET('Input data (2)'!AA$126,'Input data (2)'!$BL$1-$B7,0),IF(AND('Input data (2)'!$C$2=1,$A7&gt;=0),OFFSET('Input data (2)'!AA$126,'Input data (2)'!$BL$1-$A7,0),""))))</f>
        <v>2058</v>
      </c>
      <c r="U18" s="1">
        <f ca="1">IF(AND('Input data (2)'!$C$2=4,$D7&gt;=0),OFFSET('Input data (2)'!AL$126,'Input data (2)'!$BL$1-$D7,0),IF(AND('Input data (2)'!$C$2=3,$C7&gt;=0),OFFSET('Input data (2)'!AL$126,'Input data (2)'!$BL$1-$C7,0),IF(AND('Input data (2)'!$C$2=2,$B7&gt;=0),OFFSET('Input data (2)'!AL$126,'Input data (2)'!$BL$1-$B7,0),IF(AND('Input data (2)'!$C$2=1,$A7&gt;=0),OFFSET('Input data (2)'!AL$126,'Input data (2)'!$BL$1-$A7,0),""))))</f>
        <v>9526</v>
      </c>
      <c r="V18" s="1">
        <f ca="1">IF(AND('Input data (2)'!$C$2=4,$D7&gt;=0),OFFSET('Input data (2)'!AJ$126,'Input data (2)'!$BL$1-$D7,0),IF(AND('Input data (2)'!$C$2=3,$C7&gt;=0),OFFSET('Input data (2)'!AJ$126,'Input data (2)'!$BL$1-$C7,0),IF(AND('Input data (2)'!$C$2=2,$B7&gt;=0),OFFSET('Input data (2)'!AJ$126,'Input data (2)'!$BL$1-$B7,0),IF(AND('Input data (2)'!$C$2=1,$A7&gt;=0),OFFSET('Input data (2)'!AJ$126,'Input data (2)'!$BL$1-$A7,0),""))))</f>
        <v>7496</v>
      </c>
      <c r="W18" s="1">
        <f ca="1">IF(AND('Input data (2)'!$C$2=4,$D7&gt;=0),OFFSET('Input data (2)'!AK$126,'Input data (2)'!$BL$1-$D7,0),IF(AND('Input data (2)'!$C$2=3,$C7&gt;=0),OFFSET('Input data (2)'!AK$126,'Input data (2)'!$BL$1-$C7,0),IF(AND('Input data (2)'!$C$2=2,$B7&gt;=0),OFFSET('Input data (2)'!AK$126,'Input data (2)'!$BL$1-$B7,0),IF(AND('Input data (2)'!$C$2=1,$A7&gt;=0),OFFSET('Input data (2)'!AK$126,'Input data (2)'!$BL$1-$A7,0),""))))</f>
        <v>2030</v>
      </c>
      <c r="Y18" s="1">
        <f ca="1">IF(AND('Input data (2)'!$C$2=4,$D7&gt;=0),OFFSET('Input data (2)'!Q$126,'Input data (2)'!$BL$1-$D7,0),IF(AND('Input data (2)'!$C$2=3,$C7&gt;=0),OFFSET('Input data (2)'!Q$126,'Input data (2)'!$BL$1-$C7,0),IF(AND('Input data (2)'!$C$2=2,$B7&gt;=0),OFFSET('Input data (2)'!Q$126,'Input data (2)'!$BL$1-$B7,0),IF(AND('Input data (2)'!$C$2=1,$A7&gt;=0),OFFSET('Input data (2)'!Q$126,'Input data (2)'!$BL$1-$A7,0),""))))</f>
        <v>6940</v>
      </c>
      <c r="Z18" s="1">
        <f ca="1">IF(AND('Input data (2)'!$C$2=4,$D7&gt;=0),OFFSET('Input data (2)'!S$126,'Input data (2)'!$BL$1-$D7,0),IF(AND('Input data (2)'!$C$2=3,$C7&gt;=0),OFFSET('Input data (2)'!S$126,'Input data (2)'!$BL$1-$C7,0),IF(AND('Input data (2)'!$C$2=2,$B7&gt;=0),OFFSET('Input data (2)'!S$126,'Input data (2)'!$BL$1-$B7,0),IF(AND('Input data (2)'!$C$2=1,$A7&gt;=0),OFFSET('Input data (2)'!S$126,'Input data (2)'!$BL$1-$A7,0),""))))</f>
        <v>4991</v>
      </c>
      <c r="AA18" s="1">
        <f ca="1">IF(AND('Input data (2)'!$C$2=4,$D7&gt;=0),OFFSET('Input data (2)'!T$126,'Input data (2)'!$BL$1-$D7,0),IF(AND('Input data (2)'!$C$2=3,$C7&gt;=0),OFFSET('Input data (2)'!T$126,'Input data (2)'!$BL$1-$C7,0),IF(AND('Input data (2)'!$C$2=2,$B7&gt;=0),OFFSET('Input data (2)'!T$126,'Input data (2)'!$BL$1-$B7,0),IF(AND('Input data (2)'!$C$2=1,$A7&gt;=0),OFFSET('Input data (2)'!T$126,'Input data (2)'!$BL$1-$A7,0),""))))</f>
        <v>71.9164265129683</v>
      </c>
      <c r="AB18" s="1">
        <f ca="1">IF(AND('Input data (2)'!$C$2=4,$D7&gt;=0),OFFSET('Input data (2)'!U$126,'Input data (2)'!$BL$1-$D7,0),IF(AND('Input data (2)'!$C$2=3,$C7&gt;=0),OFFSET('Input data (2)'!U$126,'Input data (2)'!$BL$1-$C7,0),IF(AND('Input data (2)'!$C$2=2,$B7&gt;=0),OFFSET('Input data (2)'!U$126,'Input data (2)'!$BL$1-$B7,0),IF(AND('Input data (2)'!$C$2=1,$A7&gt;=0),OFFSET('Input data (2)'!U$126,'Input data (2)'!$BL$1-$A7,0),""))))</f>
        <v>1949</v>
      </c>
      <c r="AC18" s="1">
        <f ca="1">IF(AND('Input data (2)'!$C$2=4,$D7&gt;=0),OFFSET('Input data (2)'!V$126,'Input data (2)'!$BL$1-$D7,0),IF(AND('Input data (2)'!$C$2=3,$C7&gt;=0),OFFSET('Input data (2)'!V$126,'Input data (2)'!$BL$1-$C7,0),IF(AND('Input data (2)'!$C$2=2,$B7&gt;=0),OFFSET('Input data (2)'!V$126,'Input data (2)'!$BL$1-$B7,0),IF(AND('Input data (2)'!$C$2=1,$A7&gt;=0),OFFSET('Input data (2)'!V$126,'Input data (2)'!$BL$1-$A7,0),""))))</f>
        <v>28.0835734870317</v>
      </c>
      <c r="AD18" s="1">
        <f ca="1">IF(AND('Input data (2)'!$C$2=4,$D7&gt;=0),OFFSET('Input data (2)'!Q$126,'Input data (2)'!$BL$1-$D7,0),IF(AND('Input data (2)'!$C$2=3,$C7&gt;=0),OFFSET('Input data (2)'!Q$126,'Input data (2)'!$BL$1-$C7,0),IF(AND('Input data (2)'!$C$2=2,$B7&gt;=0),OFFSET('Input data (2)'!Q$126,'Input data (2)'!$BL$1-$B7,0),IF(AND('Input data (2)'!$C$2=1,$A7&gt;=0),OFFSET('Input data (2)'!Q$126,'Input data (2)'!$BL$1-$A7,0),""))))</f>
        <v>6940</v>
      </c>
      <c r="AE18" s="1">
        <f ca="1">IF(AND('Input data (2)'!$C$2=4,$D7&gt;=0),OFFSET('Input data (2)'!W$126,'Input data (2)'!$BL$1-$D7,0),IF(AND('Input data (2)'!$C$2=3,$C7&gt;=0),OFFSET('Input data (2)'!W$126,'Input data (2)'!$BL$1-$C7,0),IF(AND('Input data (2)'!$C$2=2,$B7&gt;=0),OFFSET('Input data (2)'!W$126,'Input data (2)'!$BL$1-$B7,0),IF(AND('Input data (2)'!$C$2=1,$A7&gt;=0),OFFSET('Input data (2)'!W$126,'Input data (2)'!$BL$1-$A7,0),""))))</f>
        <v>2108</v>
      </c>
      <c r="AF18" s="1">
        <f ca="1">IF(AND('Input data (2)'!$C$2=4,$D7&gt;=0),OFFSET('Input data (2)'!X$126,'Input data (2)'!$BL$1-$D7,0),IF(AND('Input data (2)'!$C$2=3,$C7&gt;=0),OFFSET('Input data (2)'!X$126,'Input data (2)'!$BL$1-$C7,0),IF(AND('Input data (2)'!$C$2=2,$B7&gt;=0),OFFSET('Input data (2)'!X$126,'Input data (2)'!$BL$1-$B7,0),IF(AND('Input data (2)'!$C$2=1,$A7&gt;=0),OFFSET('Input data (2)'!X$126,'Input data (2)'!$BL$1-$A7,0),""))))</f>
        <v>30.37463976945245</v>
      </c>
      <c r="AG18" s="1">
        <f ca="1">IF(AND('Input data (2)'!$C$2=4,$D7&gt;=0),OFFSET('Input data (2)'!Y$126,'Input data (2)'!$BL$1-$D7,0),IF(AND('Input data (2)'!$C$2=3,$C7&gt;=0),OFFSET('Input data (2)'!Y$126,'Input data (2)'!$BL$1-$C7,0),IF(AND('Input data (2)'!$C$2=2,$B7&gt;=0),OFFSET('Input data (2)'!Y$126,'Input data (2)'!$BL$1-$B7,0),IF(AND('Input data (2)'!$C$2=1,$A7&gt;=0),OFFSET('Input data (2)'!Y$126,'Input data (2)'!$BL$1-$A7,0),""))))</f>
        <v>4832</v>
      </c>
      <c r="AH18" s="1">
        <f ca="1">IF(AND('Input data (2)'!$C$2=4,$D7&gt;=0),OFFSET('Input data (2)'!Z$126,'Input data (2)'!$BL$1-$D7,0),IF(AND('Input data (2)'!$C$2=3,$C7&gt;=0),OFFSET('Input data (2)'!Z$126,'Input data (2)'!$BL$1-$C7,0),IF(AND('Input data (2)'!$C$2=2,$B7&gt;=0),OFFSET('Input data (2)'!Z$126,'Input data (2)'!$BL$1-$B7,0),IF(AND('Input data (2)'!$C$2=1,$A7&gt;=0),OFFSET('Input data (2)'!Z$126,'Input data (2)'!$BL$1-$A7,0),""))))</f>
        <v>69.625360230547557</v>
      </c>
      <c r="AI18" s="3"/>
      <c r="AJ18" s="124">
        <f ca="1">IF(AND('Input data (2)'!$C$2=4,$D7&gt;=0),OFFSET('Input data (2)'!AF$126,'Input data (2)'!$BL$1-$D7,0),IF(AND('Input data (2)'!$C$2=3,$C7&gt;=0),OFFSET('Input data (2)'!AF$126,'Input data (2)'!$BL$1-$C7,0),IF(AND('Input data (2)'!$C$2=2,$B7&gt;=0),OFFSET('Input data (2)'!AF$126,'Input data (2)'!$BL$1-$B7,0),IF(AND('Input data (2)'!$C$2=1,$A7&gt;=0),OFFSET('Input data (2)'!AF$126,'Input data (2)'!$BL$1-$A7,0),""))))</f>
        <v>987</v>
      </c>
      <c r="AK18" s="124">
        <f ca="1">IF(AND('Input data (2)'!$C$2=4,$D7&gt;=0),OFFSET('Input data (2)'!AD$126,'Input data (2)'!$BL$1-$D7,0),IF(AND('Input data (2)'!$C$2=3,$C7&gt;=0),OFFSET('Input data (2)'!AD$126,'Input data (2)'!$BL$1-$C7,0),IF(AND('Input data (2)'!$C$2=2,$B7&gt;=0),OFFSET('Input data (2)'!AD$126,'Input data (2)'!$BL$1-$B7,0),IF(AND('Input data (2)'!$C$2=1,$A7&gt;=0),OFFSET('Input data (2)'!AD$126,'Input data (2)'!$BL$1-$A7,0),""))))</f>
        <v>941</v>
      </c>
      <c r="AL18" s="124">
        <f ca="1">IF(AND('Input data (2)'!$C$2=4,$D7&gt;=0),OFFSET('Input data (2)'!AE$126,'Input data (2)'!$BL$1-$D7,0),IF(AND('Input data (2)'!$C$2=3,$C7&gt;=0),OFFSET('Input data (2)'!AE$126,'Input data (2)'!$BL$1-$C7,0),IF(AND('Input data (2)'!$C$2=2,$B7&gt;=0),OFFSET('Input data (2)'!AE$126,'Input data (2)'!$BL$1-$B7,0),IF(AND('Input data (2)'!$C$2=1,$A7&gt;=0),OFFSET('Input data (2)'!AE$126,'Input data (2)'!$BL$1-$A7,0),""))))</f>
        <v>46</v>
      </c>
      <c r="AW18" s="1">
        <f ca="1">IF(AND('Input data (2)'!$C$2=4,$D7&gt;=0),OFFSET('Input data (2)'!L$126,'Input data (2)'!$BL$1-$D7,0),IF(AND('Input data (2)'!$C$2=3,$C7&gt;=0),OFFSET('Input data (2)'!L$126,'Input data (2)'!$BL$1-$C7,0),IF(AND('Input data (2)'!$C$2=2,$B7&gt;=0),OFFSET('Input data (2)'!L$126,'Input data (2)'!$BL$1-$B7,0),IF(AND('Input data (2)'!$C$2=1,$A7&gt;=0),OFFSET('Input data (2)'!L$126,'Input data (2)'!$BL$1-$A7,0),""))))</f>
        <v>314</v>
      </c>
      <c r="AX18" s="1">
        <f ca="1">IF(AND('Input data (2)'!$C$2=4,$D7&gt;=0),OFFSET('Input data (2)'!M$126,'Input data (2)'!$BL$1-$D7,0),IF(AND('Input data (2)'!$C$2=3,$C7&gt;=0),OFFSET('Input data (2)'!M$126,'Input data (2)'!$BL$1-$C7,0),IF(AND('Input data (2)'!$C$2=2,$B7&gt;=0),OFFSET('Input data (2)'!M$126,'Input data (2)'!$BL$1-$B7,0),IF(AND('Input data (2)'!$C$2=1,$A7&gt;=0),OFFSET('Input data (2)'!M$126,'Input data (2)'!$BL$1-$A7,0),""))))</f>
        <v>16</v>
      </c>
      <c r="AY18" s="1">
        <f ca="1">IF(AND('Input data (2)'!$C$2=4,$D7&gt;=0),OFFSET('Input data (2)'!N$126,'Input data (2)'!$BL$1-$D7,0),IF(AND('Input data (2)'!$C$2=3,$C7&gt;=0),OFFSET('Input data (2)'!N$126,'Input data (2)'!$BL$1-$C7,0),IF(AND('Input data (2)'!$C$2=2,$B7&gt;=0),OFFSET('Input data (2)'!N$126,'Input data (2)'!$BL$1-$B7,0),IF(AND('Input data (2)'!$C$2=1,$A7&gt;=0),OFFSET('Input data (2)'!N$126,'Input data (2)'!$BL$1-$A7,0),""))))</f>
        <v>233</v>
      </c>
      <c r="AZ18" s="1">
        <f ca="1">IF(AND('Input data (2)'!$C$2=4,$D7&gt;=0),OFFSET('Input data (2)'!P$126,'Input data (2)'!$BL$1-$D7,0),IF(AND('Input data (2)'!$C$2=3,$C7&gt;=0),OFFSET('Input data (2)'!P$126,'Input data (2)'!$BL$1-$C7,0),IF(AND('Input data (2)'!$C$2=2,$B7&gt;=0),OFFSET('Input data (2)'!P$126,'Input data (2)'!$BL$1-$B7,0),IF(AND('Input data (2)'!$C$2=1,$A7&gt;=0),OFFSET('Input data (2)'!P$126,'Input data (2)'!$BL$1-$A7,0),""))))</f>
        <v>212</v>
      </c>
      <c r="BB18" s="1">
        <f ca="1">IF(AND('Input data (2)'!$C$2=4,$D7&gt;=0),OFFSET('Input data (2)'!BB$126,'Input data (2)'!$BL$1-$D7,0),IF(AND('Input data (2)'!$C$2=3,$C7&gt;=0),OFFSET('Input data (2)'!BB$126,'Input data (2)'!$BL$1-$C7,0),IF(AND('Input data (2)'!$C$2=2,$B7&gt;=0),OFFSET('Input data (2)'!BB$126,'Input data (2)'!$BL$1-$B7,0),IF(AND('Input data (2)'!$C$2=1,$A7&gt;=0),OFFSET('Input data (2)'!BB$126,'Input data (2)'!$BL$1-$A7,0),""))))</f>
        <v>2209</v>
      </c>
      <c r="BC18" s="1">
        <f ca="1">IF(AND('Input data (2)'!$C$2=4,$D7&gt;=0),OFFSET('Input data (2)'!AY$126,'Input data (2)'!$BL$1-$D7,0),IF(AND('Input data (2)'!$C$2=3,$C7&gt;=0),OFFSET('Input data (2)'!AY$126,'Input data (2)'!$BL$1-$C7,0),IF(AND('Input data (2)'!$C$2=2,$B7&gt;=0),OFFSET('Input data (2)'!AY$126,'Input data (2)'!$BL$1-$B7,0),IF(AND('Input data (2)'!$C$2=1,$A7&gt;=0),OFFSET('Input data (2)'!AY$126,'Input data (2)'!$BL$1-$A7,0),""))))</f>
        <v>826</v>
      </c>
      <c r="BD18" s="1" t="str">
        <f ca="1">IF(AND('Input data (2)'!$C$2=4,$D7&gt;=0),OFFSET('Input data (2)'!AZ$126,'Input data (2)'!$BL$1-$D7,0),IF(AND('Input data (2)'!$C$2=3,$C7&gt;=0),OFFSET('Input data (2)'!AZ$126,'Input data (2)'!$BL$1-$C7,0),IF(AND('Input data (2)'!$C$2=2,$B7&gt;=0),OFFSET('Input data (2)'!AZ$126,'Input data (2)'!$BL$1-$B7,0),IF(AND('Input data (2)'!$C$2=1,$A7&gt;=0),OFFSET('Input data (2)'!AZ$126,'Input data (2)'!$BL$1-$A7,0),""))))</f>
        <v>:</v>
      </c>
      <c r="BE18" s="1">
        <f ca="1">IF(AND('Input data (2)'!$C$2=4,$D7&gt;=0),OFFSET('Input data (2)'!BA$126,'Input data (2)'!$BL$1-$D7,0),IF(AND('Input data (2)'!$C$2=3,$C7&gt;=0),OFFSET('Input data (2)'!BA$126,'Input data (2)'!$BL$1-$C7,0),IF(AND('Input data (2)'!$C$2=2,$B7&gt;=0),OFFSET('Input data (2)'!BA$126,'Input data (2)'!$BL$1-$B7,0),IF(AND('Input data (2)'!$C$2=1,$A7&gt;=0),OFFSET('Input data (2)'!BA$126,'Input data (2)'!$BL$1-$A7,0),""))))</f>
        <v>1383</v>
      </c>
      <c r="BF18" s="1">
        <f ca="1">IF(AND('Input data (2)'!$C$2=4,$D7&gt;=0),OFFSET('Input data (2)'!AP$126,'Input data (2)'!$BL$1-$D7,0),IF(AND('Input data (2)'!$C$2=3,$C7&gt;=0),OFFSET('Input data (2)'!AP$126,'Input data (2)'!$BL$1-$C7,0),IF(AND('Input data (2)'!$C$2=2,$B7&gt;=0),OFFSET('Input data (2)'!AP$126,'Input data (2)'!$BL$1-$B7,0),IF(AND('Input data (2)'!$C$2=1,$A7&gt;=0),OFFSET('Input data (2)'!AP$126,'Input data (2)'!$BL$1-$A7,0),""))))</f>
        <v>126</v>
      </c>
      <c r="BG18" s="1">
        <f ca="1">IF(AND('Input data (2)'!$C$2=4,$D7&gt;=0),OFFSET('Input data (2)'!AN$126,'Input data (2)'!$BL$1-$D7,0),IF(AND('Input data (2)'!$C$2=3,$C7&gt;=0),OFFSET('Input data (2)'!AN$126,'Input data (2)'!$BL$1-$C7,0),IF(AND('Input data (2)'!$C$2=2,$B7&gt;=0),OFFSET('Input data (2)'!AN$126,'Input data (2)'!$BL$1-$B7,0),IF(AND('Input data (2)'!$C$2=1,$A7&gt;=0),OFFSET('Input data (2)'!AN$126,'Input data (2)'!$BL$1-$A7,0),""))))</f>
        <v>76</v>
      </c>
      <c r="BH18" s="1">
        <f ca="1">IF(AND('Input data (2)'!$C$2=4,$D7&gt;=0),OFFSET('Input data (2)'!AO$126,'Input data (2)'!$BL$1-$D7,0),IF(AND('Input data (2)'!$C$2=3,$C7&gt;=0),OFFSET('Input data (2)'!AO$126,'Input data (2)'!$BL$1-$C7,0),IF(AND('Input data (2)'!$C$2=2,$B7&gt;=0),OFFSET('Input data (2)'!AO$126,'Input data (2)'!$BL$1-$B7,0),IF(AND('Input data (2)'!$C$2=1,$A7&gt;=0),OFFSET('Input data (2)'!AO$126,'Input data (2)'!$BL$1-$A7,0),""))))</f>
        <v>50</v>
      </c>
      <c r="BJ18" s="1">
        <f ca="1">IF(AND('Input data (2)'!$C$2=4,$D7&gt;=0),OFFSET('Input data (2)'!AU$126,'Input data (2)'!$BL$1-$D7,0),IF(AND('Input data (2)'!$C$2=3,$C7&gt;=0),OFFSET('Input data (2)'!AU$126,'Input data (2)'!$BL$1-$C7,0),IF(AND('Input data (2)'!$C$2=2,$B7&gt;=0),OFFSET('Input data (2)'!AU$126,'Input data (2)'!$BL$1-$B7,0),IF(AND('Input data (2)'!$C$2=1,$A7&gt;=0),OFFSET('Input data (2)'!AU$126,'Input data (2)'!$BL$1-$A7,0),""))))</f>
        <v>20</v>
      </c>
      <c r="BK18" s="1">
        <f ca="1">IF(AND('Input data (2)'!$C$2=4,$D7&gt;=0),OFFSET('Input data (2)'!AV$126,'Input data (2)'!$BL$1-$D7,0),IF(AND('Input data (2)'!$C$2=3,$C7&gt;=0),OFFSET('Input data (2)'!AV$126,'Input data (2)'!$BL$1-$C7,0),IF(AND('Input data (2)'!$C$2=2,$B7&gt;=0),OFFSET('Input data (2)'!AV$126,'Input data (2)'!$BL$1-$B7,0),IF(AND('Input data (2)'!$C$2=1,$A7&gt;=0),OFFSET('Input data (2)'!AV$126,'Input data (2)'!$BL$1-$A7,0),""))))</f>
        <v>0</v>
      </c>
      <c r="BL18" s="1">
        <f ca="1">IF(AND('Input data (2)'!$C$2=4,$D7&gt;=0),OFFSET('Input data (2)'!AW$126,'Input data (2)'!$BL$1-$D7,0),IF(AND('Input data (2)'!$C$2=3,$C7&gt;=0),OFFSET('Input data (2)'!AW$126,'Input data (2)'!$BL$1-$C7,0),IF(AND('Input data (2)'!$C$2=2,$B7&gt;=0),OFFSET('Input data (2)'!AW$126,'Input data (2)'!$BL$1-$B7,0),IF(AND('Input data (2)'!$C$2=1,$A7&gt;=0),OFFSET('Input data (2)'!AW$126,'Input data (2)'!$BL$1-$A7,0),""))))</f>
        <v>2</v>
      </c>
      <c r="BM18" s="1">
        <f ca="1">IF(AND('Input data (2)'!$C$2=4,$D7&gt;=0),OFFSET('Input data (2)'!AX$126,'Input data (2)'!$BL$1-$D7,0),IF(AND('Input data (2)'!$C$2=3,$C7&gt;=0),OFFSET('Input data (2)'!AX$126,'Input data (2)'!$BL$1-$C7,0),IF(AND('Input data (2)'!$C$2=2,$B7&gt;=0),OFFSET('Input data (2)'!AX$126,'Input data (2)'!$BL$1-$B7,0),IF(AND('Input data (2)'!$C$2=1,$A7&gt;=0),OFFSET('Input data (2)'!AX$126,'Input data (2)'!$BL$1-$A7,0),""))))</f>
        <v>3</v>
      </c>
      <c r="BO18" s="1">
        <f ca="1">IF(AND('Input data (2)'!$C$2=4,$D7&gt;=0),OFFSET('Input data (2)'!BL$126,'Input data (2)'!$BL$1-$D7,0),IF(AND('Input data (2)'!$C$2=3,$C7&gt;=0),OFFSET('Input data (2)'!BL$126,'Input data (2)'!$BL$1-$C7,0),IF(AND('Input data (2)'!$C$2=2,$B7&gt;=0),OFFSET('Input data (2)'!BL$126,'Input data (2)'!$BL$1-$B7,0),IF(AND('Input data (2)'!$C$2=1,$A7&gt;=0),OFFSET('Input data (2)'!BL$126,'Input data (2)'!$BL$1-$A7,0),""))))</f>
        <v>265</v>
      </c>
      <c r="BP18" s="1">
        <f ca="1">IF(AND('Input data (2)'!$C$2=4,$D7&gt;=0),OFFSET('Input data (2)'!BI$126,'Input data (2)'!$BL$1-$D7,0),IF(AND('Input data (2)'!$C$2=3,$C7&gt;=0),OFFSET('Input data (2)'!BI$126,'Input data (2)'!$BL$1-$C7,0),IF(AND('Input data (2)'!$C$2=2,$B7&gt;=0),OFFSET('Input data (2)'!BI$126,'Input data (2)'!$BL$1-$B7,0),IF(AND('Input data (2)'!$C$2=1,$A7&gt;=0),OFFSET('Input data (2)'!BI$126,'Input data (2)'!$BL$1-$A7,0),""))))</f>
        <v>177</v>
      </c>
      <c r="BQ18" s="1" t="str">
        <f ca="1">IF(AND('Input data (2)'!$C$2=4,$D7&gt;=0),OFFSET('Input data (2)'!BK$126,'Input data (2)'!$BL$1-$D7,0),IF(AND('Input data (2)'!$C$2=3,$C7&gt;=0),OFFSET('Input data (2)'!BK$126,'Input data (2)'!$BL$1-$C7,0),IF(AND('Input data (2)'!$C$2=2,$B7&gt;=0),OFFSET('Input data (2)'!BK$126,'Input data (2)'!$BL$1-$B7,0),IF(AND('Input data (2)'!$C$2=1,$A7&gt;=0),OFFSET('Input data (2)'!BK$126,'Input data (2)'!$BL$1-$A7,0),""))))</f>
        <v>..</v>
      </c>
      <c r="BR18" s="1">
        <f ca="1">IF(AND('Input data (2)'!$C$2=4,$D7&gt;=0),OFFSET('Input data (2)'!BJ$126,'Input data (2)'!$BL$1-$D7,0),IF(AND('Input data (2)'!$C$2=3,$C7&gt;=0),OFFSET('Input data (2)'!BJ$126,'Input data (2)'!$BL$1-$C7,0),IF(AND('Input data (2)'!$C$2=2,$B7&gt;=0),OFFSET('Input data (2)'!BJ$126,'Input data (2)'!$BL$1-$B7,0),IF(AND('Input data (2)'!$C$2=1,$A7&gt;=0),OFFSET('Input data (2)'!BJ$126,'Input data (2)'!$BL$1-$A7,0),""))))</f>
        <v>88</v>
      </c>
      <c r="BS18" s="1">
        <f ca="1">IF(AND('Input data (2)'!$C$2=4,$D7&gt;=0),OFFSET('Input data (2)'!BF$126,'Input data (2)'!$BL$1-$D7,0),IF(AND('Input data (2)'!$C$2=3,$C7&gt;=0),OFFSET('Input data (2)'!BF$126,'Input data (2)'!$BL$1-$C7,0),IF(AND('Input data (2)'!$C$2=2,$B7&gt;=0),OFFSET('Input data (2)'!BF$126,'Input data (2)'!$BL$1-$B7,0),IF(AND('Input data (2)'!$C$2=1,$A7&gt;=0),OFFSET('Input data (2)'!BF$126,'Input data (2)'!$BL$1-$A7,0),""))))</f>
        <v>34</v>
      </c>
      <c r="BT18" s="1">
        <f ca="1">IF(AND('Input data (2)'!$C$2=4,$D7&gt;=0),OFFSET('Input data (2)'!BD$126,'Input data (2)'!$BL$1-$D7,0),IF(AND('Input data (2)'!$C$2=3,$C7&gt;=0),OFFSET('Input data (2)'!BD$126,'Input data (2)'!$BL$1-$C7,0),IF(AND('Input data (2)'!$C$2=2,$B7&gt;=0),OFFSET('Input data (2)'!BD$126,'Input data (2)'!$BL$1-$B7,0),IF(AND('Input data (2)'!$C$2=1,$A7&gt;=0),OFFSET('Input data (2)'!BD$126,'Input data (2)'!$BL$1-$A7,0),""))))</f>
        <v>21</v>
      </c>
      <c r="BU18" s="1">
        <f ca="1">IF(AND('Input data (2)'!$C$2=4,$D7&gt;=0),OFFSET('Input data (2)'!BE$126,'Input data (2)'!$BL$1-$D7,0),IF(AND('Input data (2)'!$C$2=3,$C7&gt;=0),OFFSET('Input data (2)'!BE$126,'Input data (2)'!$BL$1-$C7,0),IF(AND('Input data (2)'!$C$2=2,$B7&gt;=0),OFFSET('Input data (2)'!BE$126,'Input data (2)'!$BL$1-$B7,0),IF(AND('Input data (2)'!$C$2=1,$A7&gt;=0),OFFSET('Input data (2)'!BE$126,'Input data (2)'!$BL$1-$A7,0),""))))</f>
        <v>13</v>
      </c>
      <c r="BW18" s="7">
        <f ca="1">IF(AND('Input data (2)'!$C$2=4,$D7&gt;=0),OFFSET('Input data (2)'!J$126,'Input data (2)'!$BL$1-$D7,0),IF(AND('Input data (2)'!$C$2=3,$C7&gt;=0),OFFSET('Input data (2)'!J$126,'Input data (2)'!$BL$1-$C7,0),IF(AND('Input data (2)'!$C$2=2,$B7&gt;=0),OFFSET('Input data (2)'!J$126,'Input data (2)'!$BL$1-$B7,0),IF(AND('Input data (2)'!$C$2=1,$A7&gt;=0),OFFSET('Input data (2)'!J$126,'Input data (2)'!$BL$1-$A7,0),""))))</f>
        <v>0.88267774332644144</v>
      </c>
      <c r="BX18" s="7">
        <f ca="1">IF(AND('Input data (2)'!$C$2=4,$D7&gt;=0),OFFSET('Input data (2)'!K$126,'Input data (2)'!$BL$1-$D7,0),IF(AND('Input data (2)'!$C$2=3,$C7&gt;=0),OFFSET('Input data (2)'!K$126,'Input data (2)'!$BL$1-$C7,0),IF(AND('Input data (2)'!$C$2=2,$B7&gt;=0),OFFSET('Input data (2)'!K$126,'Input data (2)'!$BL$1-$B7,0),IF(AND('Input data (2)'!$C$2=1,$A7&gt;=0),OFFSET('Input data (2)'!K$126,'Input data (2)'!$BL$1-$A7,0),""))))</f>
        <v>0.80326156816433836</v>
      </c>
      <c r="BY18" s="7">
        <f ca="1">IF(AND('Input data (2)'!$C$2=4,$D7&gt;=0),OFFSET('Input data (2)'!AS$126,'Input data (2)'!$BL$1-$D7,0),IF(AND('Input data (2)'!$C$2=3,$C7&gt;=0),OFFSET('Input data (2)'!AS$126,'Input data (2)'!$BL$1-$C7,0),IF(AND('Input data (2)'!$C$2=2,$B7&gt;=0),OFFSET('Input data (2)'!AS$126,'Input data (2)'!$BL$1-$B7,0),IF(AND('Input data (2)'!$C$2=1,$A7&gt;=0),OFFSET('Input data (2)'!AS$126,'Input data (2)'!$BL$1-$A7,0),""))))</f>
        <v>0.68596028160061051</v>
      </c>
      <c r="BZ18" s="7">
        <f ca="1">IF(AND('Input data (2)'!$C$2=4,$D7&gt;=0),OFFSET('Input data (2)'!AT$126,'Input data (2)'!$BL$1-$D7,0),IF(AND('Input data (2)'!$C$2=3,$C7&gt;=0),OFFSET('Input data (2)'!AT$126,'Input data (2)'!$BL$1-$C7,0),IF(AND('Input data (2)'!$C$2=2,$B7&gt;=0),OFFSET('Input data (2)'!AT$126,'Input data (2)'!$BL$1-$B7,0),IF(AND('Input data (2)'!$C$2=1,$A7&gt;=0),OFFSET('Input data (2)'!AT$126,'Input data (2)'!$BL$1-$A7,0),""))))</f>
        <v>0.62754172267955155</v>
      </c>
      <c r="CB18" s="122"/>
      <c r="CC18" s="122"/>
      <c r="CD18" s="122"/>
      <c r="CE18" s="122"/>
      <c r="CG18" s="1">
        <v>26</v>
      </c>
      <c r="CI18" s="1">
        <f t="shared" ca="1" si="24"/>
        <v>2006</v>
      </c>
      <c r="CJ18" s="1" t="str">
        <f t="shared" si="25"/>
        <v>Q4</v>
      </c>
      <c r="CK18" s="1" t="str">
        <f t="shared" ca="1" si="12"/>
        <v>06</v>
      </c>
      <c r="CL18" s="1" t="str">
        <f t="shared" ca="1" si="13"/>
        <v>Q4 06</v>
      </c>
      <c r="CM18" s="1">
        <f ca="1">OFFSET('Input data (2)'!AJ$126,'Input data (2)'!$BL$1-'Output data - DO NOT TOUCH (2)'!$CG18,0)/1000</f>
        <v>16.818000000000001</v>
      </c>
      <c r="CN18" s="1">
        <f ca="1">OFFSET('Input data (2)'!AK$126,'Input data (2)'!$BL$1-'Output data - DO NOT TOUCH (2)'!$CG18,0)/1000</f>
        <v>12.576000000000001</v>
      </c>
      <c r="CO18" s="1">
        <f ca="1">OFFSET('Input data (2)'!AL$126,'Input data (2)'!$BL$1-'Output data - DO NOT TOUCH (2)'!$CG18,0)/1000</f>
        <v>29.393999999999998</v>
      </c>
      <c r="CP18" s="1"/>
      <c r="CQ18" s="1">
        <f ca="1">OFFSET('Input data (2)'!AG$126,'Input data (2)'!$BL$1-'Output data - DO NOT TOUCH (2)'!$CG18,0)/1000</f>
        <v>1.3839999999999999</v>
      </c>
      <c r="CR18" s="1">
        <f ca="1">OFFSET('Input data (2)'!AH$126,'Input data (2)'!$BL$1-'Output data - DO NOT TOUCH (2)'!$CG18,0)/1000</f>
        <v>1.8320000000000001</v>
      </c>
      <c r="CS18" s="1">
        <f ca="1">OFFSET('Input data (2)'!AI$126,'Input data (2)'!$BL$1-'Output data - DO NOT TOUCH (2)'!$CG18,0)/1000</f>
        <v>3.2160000000000002</v>
      </c>
      <c r="CT18" s="1"/>
      <c r="CU18" s="1">
        <f ca="1">OFFSET('Input data (2)'!L$126,'Input data (2)'!$BL$1-'Output data - DO NOT TOUCH (2)'!$CG18,0)</f>
        <v>162</v>
      </c>
      <c r="CV18" s="1">
        <f ca="1">OFFSET('Input data (2)'!M$126,'Input data (2)'!$BL$1-'Output data - DO NOT TOUCH (2)'!$CG18,0)</f>
        <v>0</v>
      </c>
      <c r="CW18" s="67">
        <f ca="1">OFFSET('Input data (2)'!N$126,'Input data (2)'!$BL$1-'Output data - DO NOT TOUCH (2)'!$CG18,0)</f>
        <v>1479</v>
      </c>
      <c r="CX18" s="1">
        <f ca="1">OFFSET('Input data (2)'!P$126,'Input data (2)'!$BL$1-'Output data - DO NOT TOUCH (2)'!$CG18,0)</f>
        <v>106</v>
      </c>
      <c r="CY18" s="1"/>
      <c r="CZ18" s="1">
        <f ca="1">OFFSET('Input data (2)'!AY$126,'Input data (2)'!$BL$1-'Output data - DO NOT TOUCH (2)'!$CG18,0)/1000</f>
        <v>1.516</v>
      </c>
      <c r="DA18" s="1">
        <f ca="1">OFFSET('Input data (2)'!BA$126,'Input data (2)'!$BL$1-'Output data - DO NOT TOUCH (2)'!$CG18,0)/1000</f>
        <v>2.024</v>
      </c>
      <c r="DB18" s="1">
        <f ca="1">OFFSET('Input data (2)'!BB$126,'Input data (2)'!$BL$1-'Output data - DO NOT TOUCH (2)'!$CG18,0)/1000</f>
        <v>3.54</v>
      </c>
      <c r="DD18" s="1">
        <f ca="1">OFFSET('Input data (2)'!AN$126,'Input data (2)'!$BL$1-'Output data - DO NOT TOUCH (2)'!$CG18,0)</f>
        <v>89</v>
      </c>
      <c r="DE18" s="1">
        <f ca="1">OFFSET('Input data (2)'!AO$126,'Input data (2)'!$BL$1-'Output data - DO NOT TOUCH (2)'!$CG18,0)</f>
        <v>43</v>
      </c>
      <c r="DF18" s="1">
        <f ca="1">OFFSET('Input data (2)'!AP$126,'Input data (2)'!$BL$1-'Output data - DO NOT TOUCH (2)'!$CG18,0)</f>
        <v>132</v>
      </c>
      <c r="DG18" s="1"/>
      <c r="DH18" s="1">
        <f ca="1">OFFSET('Input data (2)'!AU$126,'Input data (2)'!$BL$1-'Output data - DO NOT TOUCH (2)'!$CG18,0)</f>
        <v>4</v>
      </c>
      <c r="DI18" s="1">
        <f ca="1">OFFSET('Input data (2)'!AV$126,'Input data (2)'!$BL$1-'Output data - DO NOT TOUCH (2)'!$CG18,0)</f>
        <v>0</v>
      </c>
      <c r="DJ18" s="1">
        <f ca="1">OFFSET('Input data (2)'!AW$126,'Input data (2)'!$BL$1-'Output data - DO NOT TOUCH (2)'!$CG18,0)</f>
        <v>20</v>
      </c>
      <c r="DK18" s="1">
        <f ca="1">OFFSET('Input data (2)'!AX$126,'Input data (2)'!$BL$1-'Output data - DO NOT TOUCH (2)'!$CG18,0)</f>
        <v>1</v>
      </c>
      <c r="DM18" s="1">
        <f ca="1">OFFSET('Input data (2)'!BI$126,'Input data (2)'!$BL$1-'Output data - DO NOT TOUCH (2)'!$CG18,0)</f>
        <v>264</v>
      </c>
      <c r="DN18" s="1">
        <f ca="1">OFFSET('Input data (2)'!BJ$126,'Input data (2)'!$BL$1-'Output data - DO NOT TOUCH (2)'!$CG18,0)</f>
        <v>218</v>
      </c>
      <c r="DO18" s="1">
        <f ca="1">OFFSET('Input data (2)'!BL$126,'Input data (2)'!$BL$1-'Output data - DO NOT TOUCH (2)'!$CG18,0)</f>
        <v>482</v>
      </c>
      <c r="DQ18" s="1">
        <f ca="1">OFFSET('Input data (2)'!BD$126,'Input data (2)'!$BL$1-'Output data - DO NOT TOUCH (2)'!$CG18,0)</f>
        <v>20</v>
      </c>
      <c r="DR18" s="1">
        <f ca="1">OFFSET('Input data (2)'!BE$126,'Input data (2)'!$BL$1-'Output data - DO NOT TOUCH (2)'!$CG18,0)</f>
        <v>10</v>
      </c>
      <c r="DS18" s="1">
        <f ca="1">OFFSET('Input data (2)'!BF$126,'Input data (2)'!$BL$1-'Output data - DO NOT TOUCH (2)'!$CG18,0)</f>
        <v>30</v>
      </c>
      <c r="DU18" s="1">
        <f ca="1">OFFSET('Input data (2)'!B$126,'Input data (2)'!$BL$1-'Output data - DO NOT TOUCH (2)'!$CG18-1,0)</f>
        <v>2006</v>
      </c>
      <c r="DV18" s="1" t="str">
        <f ca="1">OFFSET('Input data (2)'!C$126,'Input data (2)'!$BL$1-'Output data - DO NOT TOUCH (2)'!$CG18-1,0)</f>
        <v>Q3</v>
      </c>
      <c r="DW18" s="1" t="str">
        <f t="shared" ca="1" si="14"/>
        <v>06</v>
      </c>
      <c r="DX18" s="1" t="str">
        <f t="shared" ca="1" si="15"/>
        <v>Q3 06</v>
      </c>
      <c r="DY18" s="1">
        <f ca="1">OFFSET('Input data (2)'!W$126,'Input data (2)'!$BL$1-'Output data - DO NOT TOUCH (2)'!$CG18-1,0)/1000</f>
        <v>2.99</v>
      </c>
      <c r="DZ18" s="1">
        <f ca="1">OFFSET('Input data (2)'!Y$126,'Input data (2)'!$BL$1-'Output data - DO NOT TOUCH (2)'!$CG18-1,0)/1000</f>
        <v>12.428000000000001</v>
      </c>
      <c r="EA18" s="1">
        <f ca="1">OFFSET('Input data (2)'!Q$126,'Input data (2)'!$BL$1-'Output data - DO NOT TOUCH (2)'!$CG18-1,0)/1000</f>
        <v>15.417999999999999</v>
      </c>
      <c r="EC18" s="3" t="str">
        <f t="shared" ca="1" si="26"/>
        <v>Q1 12</v>
      </c>
      <c r="ED18" s="68" t="e">
        <f t="shared" ca="1" si="27"/>
        <v>#VALUE!</v>
      </c>
      <c r="EE18" s="68" t="e">
        <f t="shared" ca="1" si="28"/>
        <v>#VALUE!</v>
      </c>
      <c r="EF18" s="68" t="e">
        <f t="shared" ca="1" si="29"/>
        <v>#VALUE!</v>
      </c>
      <c r="EH18" s="68">
        <f t="shared" ca="1" si="30"/>
        <v>2.871744950109512</v>
      </c>
      <c r="EI18" s="68">
        <f t="shared" ca="1" si="31"/>
        <v>1.7035775127768222</v>
      </c>
      <c r="EJ18" s="68">
        <f t="shared" ca="1" si="32"/>
        <v>4.5753224628863345</v>
      </c>
    </row>
    <row r="19" spans="1:140" x14ac:dyDescent="0.15">
      <c r="A19" s="1">
        <v>25</v>
      </c>
      <c r="B19" s="1">
        <v>26</v>
      </c>
      <c r="C19" s="1">
        <v>27</v>
      </c>
      <c r="D19" s="1">
        <v>24</v>
      </c>
      <c r="CG19" s="1">
        <v>25</v>
      </c>
      <c r="CI19" s="1">
        <f t="shared" ca="1" si="24"/>
        <v>2007</v>
      </c>
      <c r="CJ19" s="1" t="str">
        <f t="shared" si="25"/>
        <v>Q1</v>
      </c>
      <c r="CK19" s="1" t="str">
        <f t="shared" ca="1" si="12"/>
        <v>07</v>
      </c>
      <c r="CL19" s="1" t="str">
        <f t="shared" ca="1" si="13"/>
        <v>Q1 07</v>
      </c>
      <c r="CM19" s="1">
        <f ca="1">OFFSET('Input data (2)'!AJ$126,'Input data (2)'!$BL$1-'Output data - DO NOT TOUCH (2)'!$CG19,0)/1000</f>
        <v>16.742000000000001</v>
      </c>
      <c r="CN19" s="1">
        <f ca="1">OFFSET('Input data (2)'!AK$126,'Input data (2)'!$BL$1-'Output data - DO NOT TOUCH (2)'!$CG19,0)/1000</f>
        <v>12.454000000000001</v>
      </c>
      <c r="CO19" s="1">
        <f ca="1">OFFSET('Input data (2)'!AL$126,'Input data (2)'!$BL$1-'Output data - DO NOT TOUCH (2)'!$CG19,0)/1000</f>
        <v>29.196000000000002</v>
      </c>
      <c r="CP19" s="1"/>
      <c r="CQ19" s="1">
        <f ca="1">OFFSET('Input data (2)'!AG$126,'Input data (2)'!$BL$1-'Output data - DO NOT TOUCH (2)'!$CG19,0)/1000</f>
        <v>1.353</v>
      </c>
      <c r="CR19" s="1">
        <f ca="1">OFFSET('Input data (2)'!AH$126,'Input data (2)'!$BL$1-'Output data - DO NOT TOUCH (2)'!$CG19,0)/1000</f>
        <v>1.81</v>
      </c>
      <c r="CS19" s="1">
        <f ca="1">OFFSET('Input data (2)'!AI$126,'Input data (2)'!$BL$1-'Output data - DO NOT TOUCH (2)'!$CG19,0)/1000</f>
        <v>3.1629999999999998</v>
      </c>
      <c r="CT19" s="1"/>
      <c r="CU19" s="1">
        <f ca="1">OFFSET('Input data (2)'!L$126,'Input data (2)'!$BL$1-'Output data - DO NOT TOUCH (2)'!$CG19,0)</f>
        <v>88</v>
      </c>
      <c r="CV19" s="1">
        <f ca="1">OFFSET('Input data (2)'!M$126,'Input data (2)'!$BL$1-'Output data - DO NOT TOUCH (2)'!$CG19,0)</f>
        <v>1</v>
      </c>
      <c r="CW19" s="67">
        <f ca="1">OFFSET('Input data (2)'!N$126,'Input data (2)'!$BL$1-'Output data - DO NOT TOUCH (2)'!$CG19,0)</f>
        <v>683</v>
      </c>
      <c r="CX19" s="1">
        <f ca="1">OFFSET('Input data (2)'!P$126,'Input data (2)'!$BL$1-'Output data - DO NOT TOUCH (2)'!$CG19,0)</f>
        <v>96</v>
      </c>
      <c r="CY19" s="1"/>
      <c r="CZ19" s="1">
        <f ca="1">OFFSET('Input data (2)'!AY$126,'Input data (2)'!$BL$1-'Output data - DO NOT TOUCH (2)'!$CG19,0)/1000</f>
        <v>1.617</v>
      </c>
      <c r="DA19" s="1">
        <f ca="1">OFFSET('Input data (2)'!BA$126,'Input data (2)'!$BL$1-'Output data - DO NOT TOUCH (2)'!$CG19,0)/1000</f>
        <v>1.964</v>
      </c>
      <c r="DB19" s="1">
        <f ca="1">OFFSET('Input data (2)'!BB$126,'Input data (2)'!$BL$1-'Output data - DO NOT TOUCH (2)'!$CG19,0)/1000</f>
        <v>3.581</v>
      </c>
      <c r="DD19" s="1">
        <f ca="1">OFFSET('Input data (2)'!AN$126,'Input data (2)'!$BL$1-'Output data - DO NOT TOUCH (2)'!$CG19,0)</f>
        <v>132</v>
      </c>
      <c r="DE19" s="1">
        <f ca="1">OFFSET('Input data (2)'!AO$126,'Input data (2)'!$BL$1-'Output data - DO NOT TOUCH (2)'!$CG19,0)</f>
        <v>34</v>
      </c>
      <c r="DF19" s="1">
        <f ca="1">OFFSET('Input data (2)'!AP$126,'Input data (2)'!$BL$1-'Output data - DO NOT TOUCH (2)'!$CG19,0)</f>
        <v>166</v>
      </c>
      <c r="DG19" s="1"/>
      <c r="DH19" s="1">
        <f ca="1">OFFSET('Input data (2)'!AU$126,'Input data (2)'!$BL$1-'Output data - DO NOT TOUCH (2)'!$CG19,0)</f>
        <v>9</v>
      </c>
      <c r="DI19" s="1">
        <f ca="1">OFFSET('Input data (2)'!AV$126,'Input data (2)'!$BL$1-'Output data - DO NOT TOUCH (2)'!$CG19,0)</f>
        <v>0</v>
      </c>
      <c r="DJ19" s="1">
        <f ca="1">OFFSET('Input data (2)'!AW$126,'Input data (2)'!$BL$1-'Output data - DO NOT TOUCH (2)'!$CG19,0)</f>
        <v>15</v>
      </c>
      <c r="DK19" s="1">
        <f ca="1">OFFSET('Input data (2)'!AX$126,'Input data (2)'!$BL$1-'Output data - DO NOT TOUCH (2)'!$CG19,0)</f>
        <v>2</v>
      </c>
      <c r="DM19" s="1">
        <f ca="1">OFFSET('Input data (2)'!BI$126,'Input data (2)'!$BL$1-'Output data - DO NOT TOUCH (2)'!$CG19,0)</f>
        <v>218</v>
      </c>
      <c r="DN19" s="1">
        <f ca="1">OFFSET('Input data (2)'!BJ$126,'Input data (2)'!$BL$1-'Output data - DO NOT TOUCH (2)'!$CG19,0)</f>
        <v>125</v>
      </c>
      <c r="DO19" s="1">
        <f ca="1">OFFSET('Input data (2)'!BL$126,'Input data (2)'!$BL$1-'Output data - DO NOT TOUCH (2)'!$CG19,0)</f>
        <v>343</v>
      </c>
      <c r="DQ19" s="1">
        <f ca="1">OFFSET('Input data (2)'!BD$126,'Input data (2)'!$BL$1-'Output data - DO NOT TOUCH (2)'!$CG19,0)</f>
        <v>29</v>
      </c>
      <c r="DR19" s="1">
        <f ca="1">OFFSET('Input data (2)'!BE$126,'Input data (2)'!$BL$1-'Output data - DO NOT TOUCH (2)'!$CG19,0)</f>
        <v>7</v>
      </c>
      <c r="DS19" s="1">
        <f ca="1">OFFSET('Input data (2)'!BF$126,'Input data (2)'!$BL$1-'Output data - DO NOT TOUCH (2)'!$CG19,0)</f>
        <v>36</v>
      </c>
      <c r="DU19" s="1">
        <f ca="1">OFFSET('Input data (2)'!B$126,'Input data (2)'!$BL$1-'Output data - DO NOT TOUCH (2)'!$CG19-1,0)</f>
        <v>2006</v>
      </c>
      <c r="DV19" s="1" t="str">
        <f ca="1">OFFSET('Input data (2)'!C$126,'Input data (2)'!$BL$1-'Output data - DO NOT TOUCH (2)'!$CG19-1,0)</f>
        <v>Q4</v>
      </c>
      <c r="DW19" s="1" t="str">
        <f t="shared" ca="1" si="14"/>
        <v>06</v>
      </c>
      <c r="DX19" s="1" t="str">
        <f t="shared" ca="1" si="15"/>
        <v>Q4 06</v>
      </c>
      <c r="DY19" s="1">
        <f ca="1">OFFSET('Input data (2)'!W$126,'Input data (2)'!$BL$1-'Output data - DO NOT TOUCH (2)'!$CG19-1,0)/1000</f>
        <v>1.8560000000000001</v>
      </c>
      <c r="DZ19" s="1">
        <f ca="1">OFFSET('Input data (2)'!Y$126,'Input data (2)'!$BL$1-'Output data - DO NOT TOUCH (2)'!$CG19-1,0)/1000</f>
        <v>13.91</v>
      </c>
      <c r="EA19" s="1">
        <f ca="1">OFFSET('Input data (2)'!Q$126,'Input data (2)'!$BL$1-'Output data - DO NOT TOUCH (2)'!$CG19-1,0)/1000</f>
        <v>15.766</v>
      </c>
      <c r="EC19" s="3" t="str">
        <f t="shared" si="26"/>
        <v>Q2 12</v>
      </c>
      <c r="ED19" s="68" t="e">
        <f t="shared" ca="1" si="27"/>
        <v>#VALUE!</v>
      </c>
      <c r="EE19" s="68" t="e">
        <f t="shared" ca="1" si="28"/>
        <v>#VALUE!</v>
      </c>
      <c r="EF19" s="68" t="e">
        <f t="shared" ca="1" si="29"/>
        <v>#VALUE!</v>
      </c>
      <c r="EH19" s="68">
        <f t="shared" ca="1" si="30"/>
        <v>-6.8321513002364043</v>
      </c>
      <c r="EI19" s="68">
        <f t="shared" ca="1" si="31"/>
        <v>2.9078014184397243</v>
      </c>
      <c r="EJ19" s="68">
        <f t="shared" ca="1" si="32"/>
        <v>-3.92434988179668</v>
      </c>
    </row>
    <row r="20" spans="1:140" x14ac:dyDescent="0.15">
      <c r="A20" s="1">
        <v>24</v>
      </c>
      <c r="B20" s="1">
        <v>25</v>
      </c>
      <c r="C20" s="1">
        <v>26</v>
      </c>
      <c r="D20" s="1">
        <v>23</v>
      </c>
      <c r="E20" s="1" t="str">
        <f>F20&amp;G20</f>
        <v>2004Q1</v>
      </c>
      <c r="F20" s="1">
        <f>F15+1</f>
        <v>2004</v>
      </c>
      <c r="G20" s="1" t="s">
        <v>1</v>
      </c>
      <c r="H20" s="1">
        <f>VLOOKUP($E20,'Input data (2)'!$A:$BL,'Output data - DO NOT TOUCH (2)'!H$71,FALSE)</f>
        <v>3248</v>
      </c>
      <c r="I20" s="1">
        <f>VLOOKUP($E20,'Input data (2)'!$A:$BL,'Output data - DO NOT TOUCH (2)'!I$71,FALSE)</f>
        <v>1208</v>
      </c>
      <c r="J20" s="1">
        <f>VLOOKUP($E20,'Input data (2)'!$A:$BL,'Output data - DO NOT TOUCH (2)'!J$71,FALSE)</f>
        <v>2040</v>
      </c>
      <c r="K20" s="1">
        <f>VLOOKUP($E20,'Input data (2)'!$A:$BL,'Output data - DO NOT TOUCH (2)'!K$71,FALSE)</f>
        <v>3177</v>
      </c>
      <c r="L20" s="1">
        <f>VLOOKUP($E20,'Input data (2)'!$A:$BL,'Output data - DO NOT TOUCH (2)'!L$71,FALSE)</f>
        <v>1179</v>
      </c>
      <c r="M20" s="1">
        <f>VLOOKUP($E20,'Input data (2)'!$A:$BL,'Output data - DO NOT TOUCH (2)'!M$71,FALSE)</f>
        <v>1998</v>
      </c>
      <c r="O20" s="119">
        <f ca="1">IF(AND('Input data (2)'!$C$2=4,$D8&gt;=0),OFFSET('Input data (2)'!O$126,'Input data (2)'!$BL$1-$D8,0),IF(AND('Input data (2)'!$C$2=3,$C8&gt;=0),OFFSET('Input data (2)'!O$126,'Input data (2)'!$BL$1-$C8,0),IF(AND('Input data (2)'!$C$2=2,$B8&gt;=0),OFFSET('Input data (2)'!O$126,'Input data (2)'!$BL$1-$B8,0),IF(AND('Input data (2)'!$C$2=1,$A8&gt;=0),OFFSET('Input data (2)'!O$126,'Input data (2)'!$BL$1-$A8,0),""))))</f>
        <v>12</v>
      </c>
      <c r="Q20" s="1">
        <f ca="1">IF(AND('Input data (2)'!$C$2=4,$D8&gt;=0),OFFSET('Input data (2)'!AC$126,'Input data (2)'!$BL$1-$D8,0),IF(AND('Input data (2)'!$C$2=3,$C8&gt;=0),OFFSET('Input data (2)'!AC$126,'Input data (2)'!$BL$1-$C8,0),IF(AND('Input data (2)'!$C$2=2,$B8&gt;=0),OFFSET('Input data (2)'!AC$126,'Input data (2)'!$BL$1-$B8,0),IF(AND('Input data (2)'!$C$2=1,$A8&gt;=0),OFFSET('Input data (2)'!AC$126,'Input data (2)'!$BL$1-$A8,0),""))))</f>
        <v>10665</v>
      </c>
      <c r="R20" s="1">
        <f ca="1">IF(AND('Input data (2)'!$C$2=4,$D8&gt;=0),OFFSET('Input data (2)'!Q$126,'Input data (2)'!$BL$1-$D8,0),IF(AND('Input data (2)'!$C$2=3,$C8&gt;=0),OFFSET('Input data (2)'!Q$126,'Input data (2)'!$BL$1-$C8,0),IF(AND('Input data (2)'!$C$2=2,$B8&gt;=0),OFFSET('Input data (2)'!Q$126,'Input data (2)'!$BL$1-$B8,0),IF(AND('Input data (2)'!$C$2=1,$A8&gt;=0),OFFSET('Input data (2)'!Q$126,'Input data (2)'!$BL$1-$A8,0),""))))</f>
        <v>8524</v>
      </c>
      <c r="S20" s="1" t="str">
        <f ca="1">IF(AND('Input data (2)'!$C$2=4,$D8&gt;=0),OFFSET('Input data (2)'!R$126,'Input data (2)'!$BL$1-$D8,0),IF(AND('Input data (2)'!$C$2=3,$C8&gt;=0),OFFSET('Input data (2)'!R$126,'Input data (2)'!$BL$1-$C8,0),IF(AND('Input data (2)'!$C$2=2,$B8&gt;=0),OFFSET('Input data (2)'!R$126,'Input data (2)'!$BL$1-$B8,0),IF(AND('Input data (2)'!$C$2=1,$A8&gt;=0),OFFSET('Input data (2)'!R$126,'Input data (2)'!$BL$1-$A8,0),""))))</f>
        <v>:</v>
      </c>
      <c r="T20" s="1">
        <f ca="1">IF(AND('Input data (2)'!$C$2=4,$D8&gt;=0),OFFSET('Input data (2)'!AA$126,'Input data (2)'!$BL$1-$D8,0),IF(AND('Input data (2)'!$C$2=3,$C8&gt;=0),OFFSET('Input data (2)'!AA$126,'Input data (2)'!$BL$1-$C8,0),IF(AND('Input data (2)'!$C$2=2,$B8&gt;=0),OFFSET('Input data (2)'!AA$126,'Input data (2)'!$BL$1-$B8,0),IF(AND('Input data (2)'!$C$2=1,$A8&gt;=0),OFFSET('Input data (2)'!AA$126,'Input data (2)'!$BL$1-$A8,0),""))))</f>
        <v>2141</v>
      </c>
      <c r="U20" s="1">
        <f ca="1">IF(AND('Input data (2)'!$C$2=4,$D8&gt;=0),OFFSET('Input data (2)'!AL$126,'Input data (2)'!$BL$1-$D8,0),IF(AND('Input data (2)'!$C$2=3,$C8&gt;=0),OFFSET('Input data (2)'!AL$126,'Input data (2)'!$BL$1-$C8,0),IF(AND('Input data (2)'!$C$2=2,$B8&gt;=0),OFFSET('Input data (2)'!AL$126,'Input data (2)'!$BL$1-$B8,0),IF(AND('Input data (2)'!$C$2=1,$A8&gt;=0),OFFSET('Input data (2)'!AL$126,'Input data (2)'!$BL$1-$A8,0),""))))</f>
        <v>10413</v>
      </c>
      <c r="V20" s="1">
        <f ca="1">IF(AND('Input data (2)'!$C$2=4,$D8&gt;=0),OFFSET('Input data (2)'!AJ$126,'Input data (2)'!$BL$1-$D8,0),IF(AND('Input data (2)'!$C$2=3,$C8&gt;=0),OFFSET('Input data (2)'!AJ$126,'Input data (2)'!$BL$1-$C8,0),IF(AND('Input data (2)'!$C$2=2,$B8&gt;=0),OFFSET('Input data (2)'!AJ$126,'Input data (2)'!$BL$1-$B8,0),IF(AND('Input data (2)'!$C$2=1,$A8&gt;=0),OFFSET('Input data (2)'!AJ$126,'Input data (2)'!$BL$1-$A8,0),""))))</f>
        <v>8027</v>
      </c>
      <c r="W20" s="1">
        <f ca="1">IF(AND('Input data (2)'!$C$2=4,$D8&gt;=0),OFFSET('Input data (2)'!AK$126,'Input data (2)'!$BL$1-$D8,0),IF(AND('Input data (2)'!$C$2=3,$C8&gt;=0),OFFSET('Input data (2)'!AK$126,'Input data (2)'!$BL$1-$C8,0),IF(AND('Input data (2)'!$C$2=2,$B8&gt;=0),OFFSET('Input data (2)'!AK$126,'Input data (2)'!$BL$1-$B8,0),IF(AND('Input data (2)'!$C$2=1,$A8&gt;=0),OFFSET('Input data (2)'!AK$126,'Input data (2)'!$BL$1-$A8,0),""))))</f>
        <v>2386</v>
      </c>
      <c r="Y20" s="1">
        <f ca="1">IF(AND('Input data (2)'!$C$2=4,$D8&gt;=0),OFFSET('Input data (2)'!Q$126,'Input data (2)'!$BL$1-$D8,0),IF(AND('Input data (2)'!$C$2=3,$C8&gt;=0),OFFSET('Input data (2)'!Q$126,'Input data (2)'!$BL$1-$C8,0),IF(AND('Input data (2)'!$C$2=2,$B8&gt;=0),OFFSET('Input data (2)'!Q$126,'Input data (2)'!$BL$1-$B8,0),IF(AND('Input data (2)'!$C$2=1,$A8&gt;=0),OFFSET('Input data (2)'!Q$126,'Input data (2)'!$BL$1-$A8,0),""))))</f>
        <v>8524</v>
      </c>
      <c r="Z20" s="1">
        <f ca="1">IF(AND('Input data (2)'!$C$2=4,$D8&gt;=0),OFFSET('Input data (2)'!S$126,'Input data (2)'!$BL$1-$D8,0),IF(AND('Input data (2)'!$C$2=3,$C8&gt;=0),OFFSET('Input data (2)'!S$126,'Input data (2)'!$BL$1-$C8,0),IF(AND('Input data (2)'!$C$2=2,$B8&gt;=0),OFFSET('Input data (2)'!S$126,'Input data (2)'!$BL$1-$B8,0),IF(AND('Input data (2)'!$C$2=1,$A8&gt;=0),OFFSET('Input data (2)'!S$126,'Input data (2)'!$BL$1-$A8,0),""))))</f>
        <v>6472</v>
      </c>
      <c r="AA20" s="1">
        <f ca="1">IF(AND('Input data (2)'!$C$2=4,$D8&gt;=0),OFFSET('Input data (2)'!T$126,'Input data (2)'!$BL$1-$D8,0),IF(AND('Input data (2)'!$C$2=3,$C8&gt;=0),OFFSET('Input data (2)'!T$126,'Input data (2)'!$BL$1-$C8,0),IF(AND('Input data (2)'!$C$2=2,$B8&gt;=0),OFFSET('Input data (2)'!T$126,'Input data (2)'!$BL$1-$B8,0),IF(AND('Input data (2)'!$C$2=1,$A8&gt;=0),OFFSET('Input data (2)'!T$126,'Input data (2)'!$BL$1-$A8,0),""))))</f>
        <v>75.926794931956834</v>
      </c>
      <c r="AB20" s="1">
        <f ca="1">IF(AND('Input data (2)'!$C$2=4,$D8&gt;=0),OFFSET('Input data (2)'!U$126,'Input data (2)'!$BL$1-$D8,0),IF(AND('Input data (2)'!$C$2=3,$C8&gt;=0),OFFSET('Input data (2)'!U$126,'Input data (2)'!$BL$1-$C8,0),IF(AND('Input data (2)'!$C$2=2,$B8&gt;=0),OFFSET('Input data (2)'!U$126,'Input data (2)'!$BL$1-$B8,0),IF(AND('Input data (2)'!$C$2=1,$A8&gt;=0),OFFSET('Input data (2)'!U$126,'Input data (2)'!$BL$1-$A8,0),""))))</f>
        <v>2052</v>
      </c>
      <c r="AC20" s="1">
        <f ca="1">IF(AND('Input data (2)'!$C$2=4,$D8&gt;=0),OFFSET('Input data (2)'!V$126,'Input data (2)'!$BL$1-$D8,0),IF(AND('Input data (2)'!$C$2=3,$C8&gt;=0),OFFSET('Input data (2)'!V$126,'Input data (2)'!$BL$1-$C8,0),IF(AND('Input data (2)'!$C$2=2,$B8&gt;=0),OFFSET('Input data (2)'!V$126,'Input data (2)'!$BL$1-$B8,0),IF(AND('Input data (2)'!$C$2=1,$A8&gt;=0),OFFSET('Input data (2)'!V$126,'Input data (2)'!$BL$1-$A8,0),""))))</f>
        <v>24.073205068043173</v>
      </c>
      <c r="AD20" s="1">
        <f ca="1">IF(AND('Input data (2)'!$C$2=4,$D8&gt;=0),OFFSET('Input data (2)'!Q$126,'Input data (2)'!$BL$1-$D8,0),IF(AND('Input data (2)'!$C$2=3,$C8&gt;=0),OFFSET('Input data (2)'!Q$126,'Input data (2)'!$BL$1-$C8,0),IF(AND('Input data (2)'!$C$2=2,$B8&gt;=0),OFFSET('Input data (2)'!Q$126,'Input data (2)'!$BL$1-$B8,0),IF(AND('Input data (2)'!$C$2=1,$A8&gt;=0),OFFSET('Input data (2)'!Q$126,'Input data (2)'!$BL$1-$A8,0),""))))</f>
        <v>8524</v>
      </c>
      <c r="AE20" s="1">
        <f ca="1">IF(AND('Input data (2)'!$C$2=4,$D8&gt;=0),OFFSET('Input data (2)'!W$126,'Input data (2)'!$BL$1-$D8,0),IF(AND('Input data (2)'!$C$2=3,$C8&gt;=0),OFFSET('Input data (2)'!W$126,'Input data (2)'!$BL$1-$C8,0),IF(AND('Input data (2)'!$C$2=2,$B8&gt;=0),OFFSET('Input data (2)'!W$126,'Input data (2)'!$BL$1-$B8,0),IF(AND('Input data (2)'!$C$2=1,$A8&gt;=0),OFFSET('Input data (2)'!W$126,'Input data (2)'!$BL$1-$A8,0),""))))</f>
        <v>2437</v>
      </c>
      <c r="AF20" s="1">
        <f ca="1">IF(AND('Input data (2)'!$C$2=4,$D8&gt;=0),OFFSET('Input data (2)'!X$126,'Input data (2)'!$BL$1-$D8,0),IF(AND('Input data (2)'!$C$2=3,$C8&gt;=0),OFFSET('Input data (2)'!X$126,'Input data (2)'!$BL$1-$C8,0),IF(AND('Input data (2)'!$C$2=2,$B8&gt;=0),OFFSET('Input data (2)'!X$126,'Input data (2)'!$BL$1-$B8,0),IF(AND('Input data (2)'!$C$2=1,$A8&gt;=0),OFFSET('Input data (2)'!X$126,'Input data (2)'!$BL$1-$A8,0),""))))</f>
        <v>28.589863913655559</v>
      </c>
      <c r="AG20" s="1">
        <f ca="1">IF(AND('Input data (2)'!$C$2=4,$D8&gt;=0),OFFSET('Input data (2)'!Y$126,'Input data (2)'!$BL$1-$D8,0),IF(AND('Input data (2)'!$C$2=3,$C8&gt;=0),OFFSET('Input data (2)'!Y$126,'Input data (2)'!$BL$1-$C8,0),IF(AND('Input data (2)'!$C$2=2,$B8&gt;=0),OFFSET('Input data (2)'!Y$126,'Input data (2)'!$BL$1-$B8,0),IF(AND('Input data (2)'!$C$2=1,$A8&gt;=0),OFFSET('Input data (2)'!Y$126,'Input data (2)'!$BL$1-$A8,0),""))))</f>
        <v>6087</v>
      </c>
      <c r="AH20" s="1">
        <f ca="1">IF(AND('Input data (2)'!$C$2=4,$D8&gt;=0),OFFSET('Input data (2)'!Z$126,'Input data (2)'!$BL$1-$D8,0),IF(AND('Input data (2)'!$C$2=3,$C8&gt;=0),OFFSET('Input data (2)'!Z$126,'Input data (2)'!$BL$1-$C8,0),IF(AND('Input data (2)'!$C$2=2,$B8&gt;=0),OFFSET('Input data (2)'!Z$126,'Input data (2)'!$BL$1-$B8,0),IF(AND('Input data (2)'!$C$2=1,$A8&gt;=0),OFFSET('Input data (2)'!Z$126,'Input data (2)'!$BL$1-$A8,0),""))))</f>
        <v>71.410136086344451</v>
      </c>
      <c r="AI20" s="3"/>
      <c r="AJ20" s="124">
        <f ca="1">IF(AND('Input data (2)'!$C$2=4,$D8&gt;=0),OFFSET('Input data (2)'!AF$126,'Input data (2)'!$BL$1-$D8,0),IF(AND('Input data (2)'!$C$2=3,$C8&gt;=0),OFFSET('Input data (2)'!AF$126,'Input data (2)'!$BL$1-$C8,0),IF(AND('Input data (2)'!$C$2=2,$B8&gt;=0),OFFSET('Input data (2)'!AF$126,'Input data (2)'!$BL$1-$B8,0),IF(AND('Input data (2)'!$C$2=1,$A8&gt;=0),OFFSET('Input data (2)'!AF$126,'Input data (2)'!$BL$1-$A8,0),""))))</f>
        <v>783</v>
      </c>
      <c r="AK20" s="124">
        <f ca="1">IF(AND('Input data (2)'!$C$2=4,$D8&gt;=0),OFFSET('Input data (2)'!AD$126,'Input data (2)'!$BL$1-$D8,0),IF(AND('Input data (2)'!$C$2=3,$C8&gt;=0),OFFSET('Input data (2)'!AD$126,'Input data (2)'!$BL$1-$C8,0),IF(AND('Input data (2)'!$C$2=2,$B8&gt;=0),OFFSET('Input data (2)'!AD$126,'Input data (2)'!$BL$1-$B8,0),IF(AND('Input data (2)'!$C$2=1,$A8&gt;=0),OFFSET('Input data (2)'!AD$126,'Input data (2)'!$BL$1-$A8,0),""))))</f>
        <v>709</v>
      </c>
      <c r="AL20" s="124">
        <f ca="1">IF(AND('Input data (2)'!$C$2=4,$D8&gt;=0),OFFSET('Input data (2)'!AE$126,'Input data (2)'!$BL$1-$D8,0),IF(AND('Input data (2)'!$C$2=3,$C8&gt;=0),OFFSET('Input data (2)'!AE$126,'Input data (2)'!$BL$1-$C8,0),IF(AND('Input data (2)'!$C$2=2,$B8&gt;=0),OFFSET('Input data (2)'!AE$126,'Input data (2)'!$BL$1-$B8,0),IF(AND('Input data (2)'!$C$2=1,$A8&gt;=0),OFFSET('Input data (2)'!AE$126,'Input data (2)'!$BL$1-$A8,0),""))))</f>
        <v>74</v>
      </c>
      <c r="AW20" s="1">
        <f ca="1">IF(AND('Input data (2)'!$C$2=4,$D8&gt;=0),OFFSET('Input data (2)'!L$126,'Input data (2)'!$BL$1-$D8,0),IF(AND('Input data (2)'!$C$2=3,$C8&gt;=0),OFFSET('Input data (2)'!L$126,'Input data (2)'!$BL$1-$C8,0),IF(AND('Input data (2)'!$C$2=2,$B8&gt;=0),OFFSET('Input data (2)'!L$126,'Input data (2)'!$BL$1-$B8,0),IF(AND('Input data (2)'!$C$2=1,$A8&gt;=0),OFFSET('Input data (2)'!L$126,'Input data (2)'!$BL$1-$A8,0),""))))</f>
        <v>224</v>
      </c>
      <c r="AX20" s="1">
        <f ca="1">IF(AND('Input data (2)'!$C$2=4,$D8&gt;=0),OFFSET('Input data (2)'!M$126,'Input data (2)'!$BL$1-$D8,0),IF(AND('Input data (2)'!$C$2=3,$C8&gt;=0),OFFSET('Input data (2)'!M$126,'Input data (2)'!$BL$1-$C8,0),IF(AND('Input data (2)'!$C$2=2,$B8&gt;=0),OFFSET('Input data (2)'!M$126,'Input data (2)'!$BL$1-$B8,0),IF(AND('Input data (2)'!$C$2=1,$A8&gt;=0),OFFSET('Input data (2)'!M$126,'Input data (2)'!$BL$1-$A8,0),""))))</f>
        <v>1</v>
      </c>
      <c r="AY20" s="1">
        <f ca="1">IF(AND('Input data (2)'!$C$2=4,$D8&gt;=0),OFFSET('Input data (2)'!N$126,'Input data (2)'!$BL$1-$D8,0),IF(AND('Input data (2)'!$C$2=3,$C8&gt;=0),OFFSET('Input data (2)'!N$126,'Input data (2)'!$BL$1-$C8,0),IF(AND('Input data (2)'!$C$2=2,$B8&gt;=0),OFFSET('Input data (2)'!N$126,'Input data (2)'!$BL$1-$B8,0),IF(AND('Input data (2)'!$C$2=1,$A8&gt;=0),OFFSET('Input data (2)'!N$126,'Input data (2)'!$BL$1-$A8,0),""))))</f>
        <v>331</v>
      </c>
      <c r="AZ20" s="1">
        <f ca="1">IF(AND('Input data (2)'!$C$2=4,$D8&gt;=0),OFFSET('Input data (2)'!P$126,'Input data (2)'!$BL$1-$D8,0),IF(AND('Input data (2)'!$C$2=3,$C8&gt;=0),OFFSET('Input data (2)'!P$126,'Input data (2)'!$BL$1-$C8,0),IF(AND('Input data (2)'!$C$2=2,$B8&gt;=0),OFFSET('Input data (2)'!P$126,'Input data (2)'!$BL$1-$B8,0),IF(AND('Input data (2)'!$C$2=1,$A8&gt;=0),OFFSET('Input data (2)'!P$126,'Input data (2)'!$BL$1-$A8,0),""))))</f>
        <v>176</v>
      </c>
      <c r="BB20" s="1">
        <f ca="1">IF(AND('Input data (2)'!$C$2=4,$D8&gt;=0),OFFSET('Input data (2)'!BB$126,'Input data (2)'!$BL$1-$D8,0),IF(AND('Input data (2)'!$C$2=3,$C8&gt;=0),OFFSET('Input data (2)'!BB$126,'Input data (2)'!$BL$1-$C8,0),IF(AND('Input data (2)'!$C$2=2,$B8&gt;=0),OFFSET('Input data (2)'!BB$126,'Input data (2)'!$BL$1-$B8,0),IF(AND('Input data (2)'!$C$2=1,$A8&gt;=0),OFFSET('Input data (2)'!BB$126,'Input data (2)'!$BL$1-$A8,0),""))))</f>
        <v>2154</v>
      </c>
      <c r="BC20" s="1">
        <f ca="1">IF(AND('Input data (2)'!$C$2=4,$D8&gt;=0),OFFSET('Input data (2)'!AY$126,'Input data (2)'!$BL$1-$D8,0),IF(AND('Input data (2)'!$C$2=3,$C8&gt;=0),OFFSET('Input data (2)'!AY$126,'Input data (2)'!$BL$1-$C8,0),IF(AND('Input data (2)'!$C$2=2,$B8&gt;=0),OFFSET('Input data (2)'!AY$126,'Input data (2)'!$BL$1-$B8,0),IF(AND('Input data (2)'!$C$2=1,$A8&gt;=0),OFFSET('Input data (2)'!AY$126,'Input data (2)'!$BL$1-$A8,0),""))))</f>
        <v>720</v>
      </c>
      <c r="BD20" s="1" t="str">
        <f ca="1">IF(AND('Input data (2)'!$C$2=4,$D8&gt;=0),OFFSET('Input data (2)'!AZ$126,'Input data (2)'!$BL$1-$D8,0),IF(AND('Input data (2)'!$C$2=3,$C8&gt;=0),OFFSET('Input data (2)'!AZ$126,'Input data (2)'!$BL$1-$C8,0),IF(AND('Input data (2)'!$C$2=2,$B8&gt;=0),OFFSET('Input data (2)'!AZ$126,'Input data (2)'!$BL$1-$B8,0),IF(AND('Input data (2)'!$C$2=1,$A8&gt;=0),OFFSET('Input data (2)'!AZ$126,'Input data (2)'!$BL$1-$A8,0),""))))</f>
        <v>:</v>
      </c>
      <c r="BE20" s="1">
        <f ca="1">IF(AND('Input data (2)'!$C$2=4,$D8&gt;=0),OFFSET('Input data (2)'!BA$126,'Input data (2)'!$BL$1-$D8,0),IF(AND('Input data (2)'!$C$2=3,$C8&gt;=0),OFFSET('Input data (2)'!BA$126,'Input data (2)'!$BL$1-$C8,0),IF(AND('Input data (2)'!$C$2=2,$B8&gt;=0),OFFSET('Input data (2)'!BA$126,'Input data (2)'!$BL$1-$B8,0),IF(AND('Input data (2)'!$C$2=1,$A8&gt;=0),OFFSET('Input data (2)'!BA$126,'Input data (2)'!$BL$1-$A8,0),""))))</f>
        <v>1434</v>
      </c>
      <c r="BF20" s="1">
        <f ca="1">IF(AND('Input data (2)'!$C$2=4,$D8&gt;=0),OFFSET('Input data (2)'!AP$126,'Input data (2)'!$BL$1-$D8,0),IF(AND('Input data (2)'!$C$2=3,$C8&gt;=0),OFFSET('Input data (2)'!AP$126,'Input data (2)'!$BL$1-$C8,0),IF(AND('Input data (2)'!$C$2=2,$B8&gt;=0),OFFSET('Input data (2)'!AP$126,'Input data (2)'!$BL$1-$B8,0),IF(AND('Input data (2)'!$C$2=1,$A8&gt;=0),OFFSET('Input data (2)'!AP$126,'Input data (2)'!$BL$1-$A8,0),""))))</f>
        <v>153</v>
      </c>
      <c r="BG20" s="1">
        <f ca="1">IF(AND('Input data (2)'!$C$2=4,$D8&gt;=0),OFFSET('Input data (2)'!AN$126,'Input data (2)'!$BL$1-$D8,0),IF(AND('Input data (2)'!$C$2=3,$C8&gt;=0),OFFSET('Input data (2)'!AN$126,'Input data (2)'!$BL$1-$C8,0),IF(AND('Input data (2)'!$C$2=2,$B8&gt;=0),OFFSET('Input data (2)'!AN$126,'Input data (2)'!$BL$1-$B8,0),IF(AND('Input data (2)'!$C$2=1,$A8&gt;=0),OFFSET('Input data (2)'!AN$126,'Input data (2)'!$BL$1-$A8,0),""))))</f>
        <v>95</v>
      </c>
      <c r="BH20" s="1">
        <f ca="1">IF(AND('Input data (2)'!$C$2=4,$D8&gt;=0),OFFSET('Input data (2)'!AO$126,'Input data (2)'!$BL$1-$D8,0),IF(AND('Input data (2)'!$C$2=3,$C8&gt;=0),OFFSET('Input data (2)'!AO$126,'Input data (2)'!$BL$1-$C8,0),IF(AND('Input data (2)'!$C$2=2,$B8&gt;=0),OFFSET('Input data (2)'!AO$126,'Input data (2)'!$BL$1-$B8,0),IF(AND('Input data (2)'!$C$2=1,$A8&gt;=0),OFFSET('Input data (2)'!AO$126,'Input data (2)'!$BL$1-$A8,0),""))))</f>
        <v>58</v>
      </c>
      <c r="BJ20" s="1">
        <f ca="1">IF(AND('Input data (2)'!$C$2=4,$D8&gt;=0),OFFSET('Input data (2)'!AU$126,'Input data (2)'!$BL$1-$D8,0),IF(AND('Input data (2)'!$C$2=3,$C8&gt;=0),OFFSET('Input data (2)'!AU$126,'Input data (2)'!$BL$1-$C8,0),IF(AND('Input data (2)'!$C$2=2,$B8&gt;=0),OFFSET('Input data (2)'!AU$126,'Input data (2)'!$BL$1-$B8,0),IF(AND('Input data (2)'!$C$2=1,$A8&gt;=0),OFFSET('Input data (2)'!AU$126,'Input data (2)'!$BL$1-$A8,0),""))))</f>
        <v>30</v>
      </c>
      <c r="BK20" s="1">
        <f ca="1">IF(AND('Input data (2)'!$C$2=4,$D8&gt;=0),OFFSET('Input data (2)'!AV$126,'Input data (2)'!$BL$1-$D8,0),IF(AND('Input data (2)'!$C$2=3,$C8&gt;=0),OFFSET('Input data (2)'!AV$126,'Input data (2)'!$BL$1-$C8,0),IF(AND('Input data (2)'!$C$2=2,$B8&gt;=0),OFFSET('Input data (2)'!AV$126,'Input data (2)'!$BL$1-$B8,0),IF(AND('Input data (2)'!$C$2=1,$A8&gt;=0),OFFSET('Input data (2)'!AV$126,'Input data (2)'!$BL$1-$A8,0),""))))</f>
        <v>0</v>
      </c>
      <c r="BL20" s="1">
        <f ca="1">IF(AND('Input data (2)'!$C$2=4,$D8&gt;=0),OFFSET('Input data (2)'!AW$126,'Input data (2)'!$BL$1-$D8,0),IF(AND('Input data (2)'!$C$2=3,$C8&gt;=0),OFFSET('Input data (2)'!AW$126,'Input data (2)'!$BL$1-$C8,0),IF(AND('Input data (2)'!$C$2=2,$B8&gt;=0),OFFSET('Input data (2)'!AW$126,'Input data (2)'!$BL$1-$B8,0),IF(AND('Input data (2)'!$C$2=1,$A8&gt;=0),OFFSET('Input data (2)'!AW$126,'Input data (2)'!$BL$1-$A8,0),""))))</f>
        <v>9</v>
      </c>
      <c r="BM20" s="1">
        <f ca="1">IF(AND('Input data (2)'!$C$2=4,$D8&gt;=0),OFFSET('Input data (2)'!AX$126,'Input data (2)'!$BL$1-$D8,0),IF(AND('Input data (2)'!$C$2=3,$C8&gt;=0),OFFSET('Input data (2)'!AX$126,'Input data (2)'!$BL$1-$C8,0),IF(AND('Input data (2)'!$C$2=2,$B8&gt;=0),OFFSET('Input data (2)'!AX$126,'Input data (2)'!$BL$1-$B8,0),IF(AND('Input data (2)'!$C$2=1,$A8&gt;=0),OFFSET('Input data (2)'!AX$126,'Input data (2)'!$BL$1-$A8,0),""))))</f>
        <v>1</v>
      </c>
      <c r="BO20" s="1">
        <f ca="1">IF(AND('Input data (2)'!$C$2=4,$D8&gt;=0),OFFSET('Input data (2)'!BL$126,'Input data (2)'!$BL$1-$D8,0),IF(AND('Input data (2)'!$C$2=3,$C8&gt;=0),OFFSET('Input data (2)'!BL$126,'Input data (2)'!$BL$1-$C8,0),IF(AND('Input data (2)'!$C$2=2,$B8&gt;=0),OFFSET('Input data (2)'!BL$126,'Input data (2)'!$BL$1-$B8,0),IF(AND('Input data (2)'!$C$2=1,$A8&gt;=0),OFFSET('Input data (2)'!BL$126,'Input data (2)'!$BL$1-$A8,0),""))))</f>
        <v>253</v>
      </c>
      <c r="BP20" s="1">
        <f ca="1">IF(AND('Input data (2)'!$C$2=4,$D8&gt;=0),OFFSET('Input data (2)'!BI$126,'Input data (2)'!$BL$1-$D8,0),IF(AND('Input data (2)'!$C$2=3,$C8&gt;=0),OFFSET('Input data (2)'!BI$126,'Input data (2)'!$BL$1-$C8,0),IF(AND('Input data (2)'!$C$2=2,$B8&gt;=0),OFFSET('Input data (2)'!BI$126,'Input data (2)'!$BL$1-$B8,0),IF(AND('Input data (2)'!$C$2=1,$A8&gt;=0),OFFSET('Input data (2)'!BI$126,'Input data (2)'!$BL$1-$A8,0),""))))</f>
        <v>155</v>
      </c>
      <c r="BQ20" s="1" t="str">
        <f ca="1">IF(AND('Input data (2)'!$C$2=4,$D8&gt;=0),OFFSET('Input data (2)'!BK$126,'Input data (2)'!$BL$1-$D8,0),IF(AND('Input data (2)'!$C$2=3,$C8&gt;=0),OFFSET('Input data (2)'!BK$126,'Input data (2)'!$BL$1-$C8,0),IF(AND('Input data (2)'!$C$2=2,$B8&gt;=0),OFFSET('Input data (2)'!BK$126,'Input data (2)'!$BL$1-$B8,0),IF(AND('Input data (2)'!$C$2=1,$A8&gt;=0),OFFSET('Input data (2)'!BK$126,'Input data (2)'!$BL$1-$A8,0),""))))</f>
        <v>..</v>
      </c>
      <c r="BR20" s="1">
        <f ca="1">IF(AND('Input data (2)'!$C$2=4,$D8&gt;=0),OFFSET('Input data (2)'!BJ$126,'Input data (2)'!$BL$1-$D8,0),IF(AND('Input data (2)'!$C$2=3,$C8&gt;=0),OFFSET('Input data (2)'!BJ$126,'Input data (2)'!$BL$1-$C8,0),IF(AND('Input data (2)'!$C$2=2,$B8&gt;=0),OFFSET('Input data (2)'!BJ$126,'Input data (2)'!$BL$1-$B8,0),IF(AND('Input data (2)'!$C$2=1,$A8&gt;=0),OFFSET('Input data (2)'!BJ$126,'Input data (2)'!$BL$1-$A8,0),""))))</f>
        <v>98</v>
      </c>
      <c r="BS20" s="1">
        <f ca="1">IF(AND('Input data (2)'!$C$2=4,$D8&gt;=0),OFFSET('Input data (2)'!BF$126,'Input data (2)'!$BL$1-$D8,0),IF(AND('Input data (2)'!$C$2=3,$C8&gt;=0),OFFSET('Input data (2)'!BF$126,'Input data (2)'!$BL$1-$C8,0),IF(AND('Input data (2)'!$C$2=2,$B8&gt;=0),OFFSET('Input data (2)'!BF$126,'Input data (2)'!$BL$1-$B8,0),IF(AND('Input data (2)'!$C$2=1,$A8&gt;=0),OFFSET('Input data (2)'!BF$126,'Input data (2)'!$BL$1-$A8,0),""))))</f>
        <v>35</v>
      </c>
      <c r="BT20" s="1">
        <f ca="1">IF(AND('Input data (2)'!$C$2=4,$D8&gt;=0),OFFSET('Input data (2)'!BD$126,'Input data (2)'!$BL$1-$D8,0),IF(AND('Input data (2)'!$C$2=3,$C8&gt;=0),OFFSET('Input data (2)'!BD$126,'Input data (2)'!$BL$1-$C8,0),IF(AND('Input data (2)'!$C$2=2,$B8&gt;=0),OFFSET('Input data (2)'!BD$126,'Input data (2)'!$BL$1-$B8,0),IF(AND('Input data (2)'!$C$2=1,$A8&gt;=0),OFFSET('Input data (2)'!BD$126,'Input data (2)'!$BL$1-$A8,0),""))))</f>
        <v>19</v>
      </c>
      <c r="BU20" s="1">
        <f ca="1">IF(AND('Input data (2)'!$C$2=4,$D8&gt;=0),OFFSET('Input data (2)'!BE$126,'Input data (2)'!$BL$1-$D8,0),IF(AND('Input data (2)'!$C$2=3,$C8&gt;=0),OFFSET('Input data (2)'!BE$126,'Input data (2)'!$BL$1-$C8,0),IF(AND('Input data (2)'!$C$2=2,$B8&gt;=0),OFFSET('Input data (2)'!BE$126,'Input data (2)'!$BL$1-$B8,0),IF(AND('Input data (2)'!$C$2=1,$A8&gt;=0),OFFSET('Input data (2)'!BE$126,'Input data (2)'!$BL$1-$A8,0),""))))</f>
        <v>16</v>
      </c>
      <c r="BW20" s="7">
        <f ca="1">IF(AND('Input data (2)'!$C$2=4,$D8&gt;=0),OFFSET('Input data (2)'!J$126,'Input data (2)'!$BL$1-$D8,0),IF(AND('Input data (2)'!$C$2=3,$C8&gt;=0),OFFSET('Input data (2)'!J$126,'Input data (2)'!$BL$1-$C8,0),IF(AND('Input data (2)'!$C$2=2,$B8&gt;=0),OFFSET('Input data (2)'!J$126,'Input data (2)'!$BL$1-$B8,0),IF(AND('Input data (2)'!$C$2=1,$A8&gt;=0),OFFSET('Input data (2)'!J$126,'Input data (2)'!$BL$1-$A8,0),""))))</f>
        <v>0.82359301389101847</v>
      </c>
      <c r="BX20" s="7">
        <f ca="1">IF(AND('Input data (2)'!$C$2=4,$D8&gt;=0),OFFSET('Input data (2)'!K$126,'Input data (2)'!$BL$1-$D8,0),IF(AND('Input data (2)'!$C$2=3,$C8&gt;=0),OFFSET('Input data (2)'!K$126,'Input data (2)'!$BL$1-$C8,0),IF(AND('Input data (2)'!$C$2=2,$B8&gt;=0),OFFSET('Input data (2)'!K$126,'Input data (2)'!$BL$1-$B8,0),IF(AND('Input data (2)'!$C$2=1,$A8&gt;=0),OFFSET('Input data (2)'!K$126,'Input data (2)'!$BL$1-$A8,0),""))))</f>
        <v>0.75089831858091383</v>
      </c>
      <c r="BY20" s="7">
        <f ca="1">IF(AND('Input data (2)'!$C$2=4,$D8&gt;=0),OFFSET('Input data (2)'!AS$126,'Input data (2)'!$BL$1-$D8,0),IF(AND('Input data (2)'!$C$2=3,$C8&gt;=0),OFFSET('Input data (2)'!AS$126,'Input data (2)'!$BL$1-$C8,0),IF(AND('Input data (2)'!$C$2=2,$B8&gt;=0),OFFSET('Input data (2)'!AS$126,'Input data (2)'!$BL$1-$B8,0),IF(AND('Input data (2)'!$C$2=1,$A8&gt;=0),OFFSET('Input data (2)'!AS$126,'Input data (2)'!$BL$1-$A8,0),""))))</f>
        <v>0.63521366734182083</v>
      </c>
      <c r="BZ20" s="7">
        <f ca="1">IF(AND('Input data (2)'!$C$2=4,$D8&gt;=0),OFFSET('Input data (2)'!AT$126,'Input data (2)'!$BL$1-$D8,0),IF(AND('Input data (2)'!$C$2=3,$C8&gt;=0),OFFSET('Input data (2)'!AT$126,'Input data (2)'!$BL$1-$C8,0),IF(AND('Input data (2)'!$C$2=2,$B8&gt;=0),OFFSET('Input data (2)'!AT$126,'Input data (2)'!$BL$1-$B8,0),IF(AND('Input data (2)'!$C$2=1,$A8&gt;=0),OFFSET('Input data (2)'!AT$126,'Input data (2)'!$BL$1-$A8,0),""))))</f>
        <v>0.58176632110384463</v>
      </c>
      <c r="CB20" s="122"/>
      <c r="CC20" s="122"/>
      <c r="CD20" s="122"/>
      <c r="CE20" s="122"/>
      <c r="CG20" s="1">
        <v>24</v>
      </c>
      <c r="CI20" s="1">
        <f t="shared" si="24"/>
        <v>2007</v>
      </c>
      <c r="CJ20" s="1" t="str">
        <f t="shared" si="25"/>
        <v>Q2</v>
      </c>
      <c r="CK20" s="1" t="str">
        <f t="shared" si="12"/>
        <v>07</v>
      </c>
      <c r="CL20" s="1" t="str">
        <f t="shared" si="13"/>
        <v>Q2 07</v>
      </c>
      <c r="CM20" s="1">
        <f ca="1">OFFSET('Input data (2)'!AJ$126,'Input data (2)'!$BL$1-'Output data - DO NOT TOUCH (2)'!$CG20,0)/1000</f>
        <v>16.492999999999999</v>
      </c>
      <c r="CN20" s="1">
        <f ca="1">OFFSET('Input data (2)'!AK$126,'Input data (2)'!$BL$1-'Output data - DO NOT TOUCH (2)'!$CG20,0)/1000</f>
        <v>10.502000000000001</v>
      </c>
      <c r="CO20" s="1">
        <f ca="1">OFFSET('Input data (2)'!AL$126,'Input data (2)'!$BL$1-'Output data - DO NOT TOUCH (2)'!$CG20,0)/1000</f>
        <v>26.995000000000001</v>
      </c>
      <c r="CP20" s="1"/>
      <c r="CQ20" s="1">
        <f ca="1">OFFSET('Input data (2)'!AG$126,'Input data (2)'!$BL$1-'Output data - DO NOT TOUCH (2)'!$CG20,0)/1000</f>
        <v>1.38</v>
      </c>
      <c r="CR20" s="1">
        <f ca="1">OFFSET('Input data (2)'!AH$126,'Input data (2)'!$BL$1-'Output data - DO NOT TOUCH (2)'!$CG20,0)/1000</f>
        <v>1.7769999999999999</v>
      </c>
      <c r="CS20" s="1">
        <f ca="1">OFFSET('Input data (2)'!AI$126,'Input data (2)'!$BL$1-'Output data - DO NOT TOUCH (2)'!$CG20,0)/1000</f>
        <v>3.157</v>
      </c>
      <c r="CT20" s="1"/>
      <c r="CU20" s="1">
        <f ca="1">OFFSET('Input data (2)'!L$126,'Input data (2)'!$BL$1-'Output data - DO NOT TOUCH (2)'!$CG20,0)</f>
        <v>77</v>
      </c>
      <c r="CV20" s="1">
        <f ca="1">OFFSET('Input data (2)'!M$126,'Input data (2)'!$BL$1-'Output data - DO NOT TOUCH (2)'!$CG20,0)</f>
        <v>0</v>
      </c>
      <c r="CW20" s="67">
        <f ca="1">OFFSET('Input data (2)'!N$126,'Input data (2)'!$BL$1-'Output data - DO NOT TOUCH (2)'!$CG20,0)</f>
        <v>585</v>
      </c>
      <c r="CX20" s="1">
        <f ca="1">OFFSET('Input data (2)'!P$126,'Input data (2)'!$BL$1-'Output data - DO NOT TOUCH (2)'!$CG20,0)</f>
        <v>102</v>
      </c>
      <c r="CY20" s="1"/>
      <c r="CZ20" s="1">
        <f ca="1">OFFSET('Input data (2)'!AY$126,'Input data (2)'!$BL$1-'Output data - DO NOT TOUCH (2)'!$CG20,0)/1000</f>
        <v>1.6060000000000001</v>
      </c>
      <c r="DA20" s="1">
        <f ca="1">OFFSET('Input data (2)'!BA$126,'Input data (2)'!$BL$1-'Output data - DO NOT TOUCH (2)'!$CG20,0)/1000</f>
        <v>1.8919999999999999</v>
      </c>
      <c r="DB20" s="1">
        <f ca="1">OFFSET('Input data (2)'!BB$126,'Input data (2)'!$BL$1-'Output data - DO NOT TOUCH (2)'!$CG20,0)/1000</f>
        <v>3.4980000000000002</v>
      </c>
      <c r="DD20" s="1">
        <f ca="1">OFFSET('Input data (2)'!AN$126,'Input data (2)'!$BL$1-'Output data - DO NOT TOUCH (2)'!$CG20,0)</f>
        <v>131</v>
      </c>
      <c r="DE20" s="1">
        <f ca="1">OFFSET('Input data (2)'!AO$126,'Input data (2)'!$BL$1-'Output data - DO NOT TOUCH (2)'!$CG20,0)</f>
        <v>34</v>
      </c>
      <c r="DF20" s="1">
        <f ca="1">OFFSET('Input data (2)'!AP$126,'Input data (2)'!$BL$1-'Output data - DO NOT TOUCH (2)'!$CG20,0)</f>
        <v>165</v>
      </c>
      <c r="DG20" s="1"/>
      <c r="DH20" s="1">
        <f ca="1">OFFSET('Input data (2)'!AU$126,'Input data (2)'!$BL$1-'Output data - DO NOT TOUCH (2)'!$CG20,0)</f>
        <v>22</v>
      </c>
      <c r="DI20" s="1">
        <f ca="1">OFFSET('Input data (2)'!AV$126,'Input data (2)'!$BL$1-'Output data - DO NOT TOUCH (2)'!$CG20,0)</f>
        <v>0</v>
      </c>
      <c r="DJ20" s="1">
        <f ca="1">OFFSET('Input data (2)'!AW$126,'Input data (2)'!$BL$1-'Output data - DO NOT TOUCH (2)'!$CG20,0)</f>
        <v>11</v>
      </c>
      <c r="DK20" s="1">
        <f ca="1">OFFSET('Input data (2)'!AX$126,'Input data (2)'!$BL$1-'Output data - DO NOT TOUCH (2)'!$CG20,0)</f>
        <v>1</v>
      </c>
      <c r="DM20" s="1">
        <f ca="1">OFFSET('Input data (2)'!BI$126,'Input data (2)'!$BL$1-'Output data - DO NOT TOUCH (2)'!$CG20,0)</f>
        <v>228</v>
      </c>
      <c r="DN20" s="1">
        <f ca="1">OFFSET('Input data (2)'!BJ$126,'Input data (2)'!$BL$1-'Output data - DO NOT TOUCH (2)'!$CG20,0)</f>
        <v>110</v>
      </c>
      <c r="DO20" s="1">
        <f ca="1">OFFSET('Input data (2)'!BL$126,'Input data (2)'!$BL$1-'Output data - DO NOT TOUCH (2)'!$CG20,0)</f>
        <v>338</v>
      </c>
      <c r="DQ20" s="1">
        <f ca="1">OFFSET('Input data (2)'!BD$126,'Input data (2)'!$BL$1-'Output data - DO NOT TOUCH (2)'!$CG20,0)</f>
        <v>29</v>
      </c>
      <c r="DR20" s="1">
        <f ca="1">OFFSET('Input data (2)'!BE$126,'Input data (2)'!$BL$1-'Output data - DO NOT TOUCH (2)'!$CG20,0)</f>
        <v>9</v>
      </c>
      <c r="DS20" s="1">
        <f ca="1">OFFSET('Input data (2)'!BF$126,'Input data (2)'!$BL$1-'Output data - DO NOT TOUCH (2)'!$CG20,0)</f>
        <v>38</v>
      </c>
      <c r="DU20" s="1">
        <f ca="1">OFFSET('Input data (2)'!B$126,'Input data (2)'!$BL$1-'Output data - DO NOT TOUCH (2)'!$CG20-1,0)</f>
        <v>2007</v>
      </c>
      <c r="DV20" s="1" t="str">
        <f ca="1">OFFSET('Input data (2)'!C$126,'Input data (2)'!$BL$1-'Output data - DO NOT TOUCH (2)'!$CG20-1,0)</f>
        <v>Q1</v>
      </c>
      <c r="DW20" s="1" t="str">
        <f t="shared" ca="1" si="14"/>
        <v>07</v>
      </c>
      <c r="DX20" s="1" t="str">
        <f t="shared" ca="1" si="15"/>
        <v>Q1 07</v>
      </c>
      <c r="DY20" s="1">
        <f ca="1">OFFSET('Input data (2)'!W$126,'Input data (2)'!$BL$1-'Output data - DO NOT TOUCH (2)'!$CG20-1,0)/1000</f>
        <v>1.9810000000000001</v>
      </c>
      <c r="DZ20" s="1">
        <f ca="1">OFFSET('Input data (2)'!Y$126,'Input data (2)'!$BL$1-'Output data - DO NOT TOUCH (2)'!$CG20-1,0)/1000</f>
        <v>15.956</v>
      </c>
      <c r="EA20" s="1">
        <f ca="1">OFFSET('Input data (2)'!Q$126,'Input data (2)'!$BL$1-'Output data - DO NOT TOUCH (2)'!$CG20-1,0)/1000</f>
        <v>17.937000000000001</v>
      </c>
      <c r="EC20" s="3" t="str">
        <f t="shared" ca="1" si="26"/>
        <v>Q3 12</v>
      </c>
      <c r="ED20" s="68" t="e">
        <f t="shared" ca="1" si="27"/>
        <v>#VALUE!</v>
      </c>
      <c r="EE20" s="68" t="e">
        <f t="shared" ca="1" si="28"/>
        <v>#VALUE!</v>
      </c>
      <c r="EF20" s="68" t="e">
        <f t="shared" ca="1" si="29"/>
        <v>#VALUE!</v>
      </c>
      <c r="EH20" s="68">
        <f t="shared" ca="1" si="30"/>
        <v>-2.7973671838269851</v>
      </c>
      <c r="EI20" s="68">
        <f t="shared" ca="1" si="31"/>
        <v>-4.2548189938881071</v>
      </c>
      <c r="EJ20" s="68">
        <f t="shared" ca="1" si="32"/>
        <v>-7.0521861777150923</v>
      </c>
    </row>
    <row r="21" spans="1:140" x14ac:dyDescent="0.15">
      <c r="A21" s="1">
        <v>23</v>
      </c>
      <c r="B21" s="1">
        <v>24</v>
      </c>
      <c r="C21" s="1">
        <v>25</v>
      </c>
      <c r="D21" s="1">
        <v>22</v>
      </c>
      <c r="E21" s="1" t="str">
        <f>F21&amp;G21</f>
        <v>2004Q2</v>
      </c>
      <c r="F21" s="1">
        <f>F16+1</f>
        <v>2004</v>
      </c>
      <c r="G21" s="1" t="s">
        <v>2</v>
      </c>
      <c r="H21" s="1">
        <f>VLOOKUP($E21,'Input data (2)'!$A:$BL,'Output data - DO NOT TOUCH (2)'!H$71,FALSE)</f>
        <v>3108</v>
      </c>
      <c r="I21" s="1">
        <f>VLOOKUP($E21,'Input data (2)'!$A:$BL,'Output data - DO NOT TOUCH (2)'!I$71,FALSE)</f>
        <v>1197</v>
      </c>
      <c r="J21" s="1">
        <f>VLOOKUP($E21,'Input data (2)'!$A:$BL,'Output data - DO NOT TOUCH (2)'!J$71,FALSE)</f>
        <v>1911</v>
      </c>
      <c r="K21" s="1">
        <f>VLOOKUP($E21,'Input data (2)'!$A:$BL,'Output data - DO NOT TOUCH (2)'!K$71,FALSE)</f>
        <v>3055</v>
      </c>
      <c r="L21" s="1">
        <f>VLOOKUP($E21,'Input data (2)'!$A:$BL,'Output data - DO NOT TOUCH (2)'!L$71,FALSE)</f>
        <v>1172</v>
      </c>
      <c r="M21" s="1">
        <f>VLOOKUP($E21,'Input data (2)'!$A:$BL,'Output data - DO NOT TOUCH (2)'!M$71,FALSE)</f>
        <v>1883</v>
      </c>
      <c r="O21" s="119">
        <f ca="1">IF(AND('Input data (2)'!$C$2=4,$D9&gt;=0),OFFSET('Input data (2)'!O$126,'Input data (2)'!$BL$1-$D9,0),IF(AND('Input data (2)'!$C$2=3,$C9&gt;=0),OFFSET('Input data (2)'!O$126,'Input data (2)'!$BL$1-$C9,0),IF(AND('Input data (2)'!$C$2=2,$B9&gt;=0),OFFSET('Input data (2)'!O$126,'Input data (2)'!$BL$1-$B9,0),IF(AND('Input data (2)'!$C$2=1,$A9&gt;=0),OFFSET('Input data (2)'!O$126,'Input data (2)'!$BL$1-$A9,0),""))))</f>
        <v>18</v>
      </c>
      <c r="Q21" s="1">
        <f ca="1">IF(AND('Input data (2)'!$C$2=4,$D9&gt;=0),OFFSET('Input data (2)'!AC$126,'Input data (2)'!$BL$1-$D9,0),IF(AND('Input data (2)'!$C$2=3,$C9&gt;=0),OFFSET('Input data (2)'!AC$126,'Input data (2)'!$BL$1-$C9,0),IF(AND('Input data (2)'!$C$2=2,$B9&gt;=0),OFFSET('Input data (2)'!AC$126,'Input data (2)'!$BL$1-$B9,0),IF(AND('Input data (2)'!$C$2=1,$A9&gt;=0),OFFSET('Input data (2)'!AC$126,'Input data (2)'!$BL$1-$A9,0),""))))</f>
        <v>11537</v>
      </c>
      <c r="R21" s="1">
        <f ca="1">IF(AND('Input data (2)'!$C$2=4,$D9&gt;=0),OFFSET('Input data (2)'!Q$126,'Input data (2)'!$BL$1-$D9,0),IF(AND('Input data (2)'!$C$2=3,$C9&gt;=0),OFFSET('Input data (2)'!Q$126,'Input data (2)'!$BL$1-$C9,0),IF(AND('Input data (2)'!$C$2=2,$B9&gt;=0),OFFSET('Input data (2)'!Q$126,'Input data (2)'!$BL$1-$B9,0),IF(AND('Input data (2)'!$C$2=1,$A9&gt;=0),OFFSET('Input data (2)'!Q$126,'Input data (2)'!$BL$1-$A9,0),""))))</f>
        <v>9060</v>
      </c>
      <c r="S21" s="1" t="str">
        <f ca="1">IF(AND('Input data (2)'!$C$2=4,$D9&gt;=0),OFFSET('Input data (2)'!R$126,'Input data (2)'!$BL$1-$D9,0),IF(AND('Input data (2)'!$C$2=3,$C9&gt;=0),OFFSET('Input data (2)'!R$126,'Input data (2)'!$BL$1-$C9,0),IF(AND('Input data (2)'!$C$2=2,$B9&gt;=0),OFFSET('Input data (2)'!R$126,'Input data (2)'!$BL$1-$B9,0),IF(AND('Input data (2)'!$C$2=1,$A9&gt;=0),OFFSET('Input data (2)'!R$126,'Input data (2)'!$BL$1-$A9,0),""))))</f>
        <v>:</v>
      </c>
      <c r="T21" s="1">
        <f ca="1">IF(AND('Input data (2)'!$C$2=4,$D9&gt;=0),OFFSET('Input data (2)'!AA$126,'Input data (2)'!$BL$1-$D9,0),IF(AND('Input data (2)'!$C$2=3,$C9&gt;=0),OFFSET('Input data (2)'!AA$126,'Input data (2)'!$BL$1-$C9,0),IF(AND('Input data (2)'!$C$2=2,$B9&gt;=0),OFFSET('Input data (2)'!AA$126,'Input data (2)'!$BL$1-$B9,0),IF(AND('Input data (2)'!$C$2=1,$A9&gt;=0),OFFSET('Input data (2)'!AA$126,'Input data (2)'!$BL$1-$A9,0),""))))</f>
        <v>2476</v>
      </c>
      <c r="U21" s="1">
        <f ca="1">IF(AND('Input data (2)'!$C$2=4,$D9&gt;=0),OFFSET('Input data (2)'!AL$126,'Input data (2)'!$BL$1-$D9,0),IF(AND('Input data (2)'!$C$2=3,$C9&gt;=0),OFFSET('Input data (2)'!AL$126,'Input data (2)'!$BL$1-$C9,0),IF(AND('Input data (2)'!$C$2=2,$B9&gt;=0),OFFSET('Input data (2)'!AL$126,'Input data (2)'!$BL$1-$B9,0),IF(AND('Input data (2)'!$C$2=1,$A9&gt;=0),OFFSET('Input data (2)'!AL$126,'Input data (2)'!$BL$1-$A9,0),""))))</f>
        <v>11229</v>
      </c>
      <c r="V21" s="1">
        <f ca="1">IF(AND('Input data (2)'!$C$2=4,$D9&gt;=0),OFFSET('Input data (2)'!AJ$126,'Input data (2)'!$BL$1-$D9,0),IF(AND('Input data (2)'!$C$2=3,$C9&gt;=0),OFFSET('Input data (2)'!AJ$126,'Input data (2)'!$BL$1-$C9,0),IF(AND('Input data (2)'!$C$2=2,$B9&gt;=0),OFFSET('Input data (2)'!AJ$126,'Input data (2)'!$BL$1-$B9,0),IF(AND('Input data (2)'!$C$2=1,$A9&gt;=0),OFFSET('Input data (2)'!AJ$126,'Input data (2)'!$BL$1-$A9,0),""))))</f>
        <v>8813</v>
      </c>
      <c r="W21" s="1">
        <f ca="1">IF(AND('Input data (2)'!$C$2=4,$D9&gt;=0),OFFSET('Input data (2)'!AK$126,'Input data (2)'!$BL$1-$D9,0),IF(AND('Input data (2)'!$C$2=3,$C9&gt;=0),OFFSET('Input data (2)'!AK$126,'Input data (2)'!$BL$1-$C9,0),IF(AND('Input data (2)'!$C$2=2,$B9&gt;=0),OFFSET('Input data (2)'!AK$126,'Input data (2)'!$BL$1-$B9,0),IF(AND('Input data (2)'!$C$2=1,$A9&gt;=0),OFFSET('Input data (2)'!AK$126,'Input data (2)'!$BL$1-$A9,0),""))))</f>
        <v>2416</v>
      </c>
      <c r="Y21" s="1">
        <f ca="1">IF(AND('Input data (2)'!$C$2=4,$D9&gt;=0),OFFSET('Input data (2)'!Q$126,'Input data (2)'!$BL$1-$D9,0),IF(AND('Input data (2)'!$C$2=3,$C9&gt;=0),OFFSET('Input data (2)'!Q$126,'Input data (2)'!$BL$1-$C9,0),IF(AND('Input data (2)'!$C$2=2,$B9&gt;=0),OFFSET('Input data (2)'!Q$126,'Input data (2)'!$BL$1-$B9,0),IF(AND('Input data (2)'!$C$2=1,$A9&gt;=0),OFFSET('Input data (2)'!Q$126,'Input data (2)'!$BL$1-$A9,0),""))))</f>
        <v>9060</v>
      </c>
      <c r="Z21" s="1">
        <f ca="1">IF(AND('Input data (2)'!$C$2=4,$D9&gt;=0),OFFSET('Input data (2)'!S$126,'Input data (2)'!$BL$1-$D9,0),IF(AND('Input data (2)'!$C$2=3,$C9&gt;=0),OFFSET('Input data (2)'!S$126,'Input data (2)'!$BL$1-$C9,0),IF(AND('Input data (2)'!$C$2=2,$B9&gt;=0),OFFSET('Input data (2)'!S$126,'Input data (2)'!$BL$1-$B9,0),IF(AND('Input data (2)'!$C$2=1,$A9&gt;=0),OFFSET('Input data (2)'!S$126,'Input data (2)'!$BL$1-$A9,0),""))))</f>
        <v>7028</v>
      </c>
      <c r="AA21" s="1">
        <f ca="1">IF(AND('Input data (2)'!$C$2=4,$D9&gt;=0),OFFSET('Input data (2)'!T$126,'Input data (2)'!$BL$1-$D9,0),IF(AND('Input data (2)'!$C$2=3,$C9&gt;=0),OFFSET('Input data (2)'!T$126,'Input data (2)'!$BL$1-$C9,0),IF(AND('Input data (2)'!$C$2=2,$B9&gt;=0),OFFSET('Input data (2)'!T$126,'Input data (2)'!$BL$1-$B9,0),IF(AND('Input data (2)'!$C$2=1,$A9&gt;=0),OFFSET('Input data (2)'!T$126,'Input data (2)'!$BL$1-$A9,0),""))))</f>
        <v>77.571743929359826</v>
      </c>
      <c r="AB21" s="1">
        <f ca="1">IF(AND('Input data (2)'!$C$2=4,$D9&gt;=0),OFFSET('Input data (2)'!U$126,'Input data (2)'!$BL$1-$D9,0),IF(AND('Input data (2)'!$C$2=3,$C9&gt;=0),OFFSET('Input data (2)'!U$126,'Input data (2)'!$BL$1-$C9,0),IF(AND('Input data (2)'!$C$2=2,$B9&gt;=0),OFFSET('Input data (2)'!U$126,'Input data (2)'!$BL$1-$B9,0),IF(AND('Input data (2)'!$C$2=1,$A9&gt;=0),OFFSET('Input data (2)'!U$126,'Input data (2)'!$BL$1-$A9,0),""))))</f>
        <v>2032</v>
      </c>
      <c r="AC21" s="1">
        <f ca="1">IF(AND('Input data (2)'!$C$2=4,$D9&gt;=0),OFFSET('Input data (2)'!V$126,'Input data (2)'!$BL$1-$D9,0),IF(AND('Input data (2)'!$C$2=3,$C9&gt;=0),OFFSET('Input data (2)'!V$126,'Input data (2)'!$BL$1-$C9,0),IF(AND('Input data (2)'!$C$2=2,$B9&gt;=0),OFFSET('Input data (2)'!V$126,'Input data (2)'!$BL$1-$B9,0),IF(AND('Input data (2)'!$C$2=1,$A9&gt;=0),OFFSET('Input data (2)'!V$126,'Input data (2)'!$BL$1-$A9,0),""))))</f>
        <v>22.428256070640177</v>
      </c>
      <c r="AD21" s="1">
        <f ca="1">IF(AND('Input data (2)'!$C$2=4,$D9&gt;=0),OFFSET('Input data (2)'!Q$126,'Input data (2)'!$BL$1-$D9,0),IF(AND('Input data (2)'!$C$2=3,$C9&gt;=0),OFFSET('Input data (2)'!Q$126,'Input data (2)'!$BL$1-$C9,0),IF(AND('Input data (2)'!$C$2=2,$B9&gt;=0),OFFSET('Input data (2)'!Q$126,'Input data (2)'!$BL$1-$B9,0),IF(AND('Input data (2)'!$C$2=1,$A9&gt;=0),OFFSET('Input data (2)'!Q$126,'Input data (2)'!$BL$1-$A9,0),""))))</f>
        <v>9060</v>
      </c>
      <c r="AE21" s="1">
        <f ca="1">IF(AND('Input data (2)'!$C$2=4,$D9&gt;=0),OFFSET('Input data (2)'!W$126,'Input data (2)'!$BL$1-$D9,0),IF(AND('Input data (2)'!$C$2=3,$C9&gt;=0),OFFSET('Input data (2)'!W$126,'Input data (2)'!$BL$1-$C9,0),IF(AND('Input data (2)'!$C$2=2,$B9&gt;=0),OFFSET('Input data (2)'!W$126,'Input data (2)'!$BL$1-$B9,0),IF(AND('Input data (2)'!$C$2=1,$A9&gt;=0),OFFSET('Input data (2)'!W$126,'Input data (2)'!$BL$1-$A9,0),""))))</f>
        <v>2455</v>
      </c>
      <c r="AF21" s="1">
        <f ca="1">IF(AND('Input data (2)'!$C$2=4,$D9&gt;=0),OFFSET('Input data (2)'!X$126,'Input data (2)'!$BL$1-$D9,0),IF(AND('Input data (2)'!$C$2=3,$C9&gt;=0),OFFSET('Input data (2)'!X$126,'Input data (2)'!$BL$1-$C9,0),IF(AND('Input data (2)'!$C$2=2,$B9&gt;=0),OFFSET('Input data (2)'!X$126,'Input data (2)'!$BL$1-$B9,0),IF(AND('Input data (2)'!$C$2=1,$A9&gt;=0),OFFSET('Input data (2)'!X$126,'Input data (2)'!$BL$1-$A9,0),""))))</f>
        <v>27.097130242825607</v>
      </c>
      <c r="AG21" s="1">
        <f ca="1">IF(AND('Input data (2)'!$C$2=4,$D9&gt;=0),OFFSET('Input data (2)'!Y$126,'Input data (2)'!$BL$1-$D9,0),IF(AND('Input data (2)'!$C$2=3,$C9&gt;=0),OFFSET('Input data (2)'!Y$126,'Input data (2)'!$BL$1-$C9,0),IF(AND('Input data (2)'!$C$2=2,$B9&gt;=0),OFFSET('Input data (2)'!Y$126,'Input data (2)'!$BL$1-$B9,0),IF(AND('Input data (2)'!$C$2=1,$A9&gt;=0),OFFSET('Input data (2)'!Y$126,'Input data (2)'!$BL$1-$A9,0),""))))</f>
        <v>6605</v>
      </c>
      <c r="AH21" s="1">
        <f ca="1">IF(AND('Input data (2)'!$C$2=4,$D9&gt;=0),OFFSET('Input data (2)'!Z$126,'Input data (2)'!$BL$1-$D9,0),IF(AND('Input data (2)'!$C$2=3,$C9&gt;=0),OFFSET('Input data (2)'!Z$126,'Input data (2)'!$BL$1-$C9,0),IF(AND('Input data (2)'!$C$2=2,$B9&gt;=0),OFFSET('Input data (2)'!Z$126,'Input data (2)'!$BL$1-$B9,0),IF(AND('Input data (2)'!$C$2=1,$A9&gt;=0),OFFSET('Input data (2)'!Z$126,'Input data (2)'!$BL$1-$A9,0),""))))</f>
        <v>72.902869757174386</v>
      </c>
      <c r="AI21" s="3"/>
      <c r="AJ21" s="124">
        <f ca="1">IF(AND('Input data (2)'!$C$2=4,$D9&gt;=0),OFFSET('Input data (2)'!AF$126,'Input data (2)'!$BL$1-$D9,0),IF(AND('Input data (2)'!$C$2=3,$C9&gt;=0),OFFSET('Input data (2)'!AF$126,'Input data (2)'!$BL$1-$C9,0),IF(AND('Input data (2)'!$C$2=2,$B9&gt;=0),OFFSET('Input data (2)'!AF$126,'Input data (2)'!$BL$1-$B9,0),IF(AND('Input data (2)'!$C$2=1,$A9&gt;=0),OFFSET('Input data (2)'!AF$126,'Input data (2)'!$BL$1-$A9,0),""))))</f>
        <v>1257</v>
      </c>
      <c r="AK21" s="124">
        <f ca="1">IF(AND('Input data (2)'!$C$2=4,$D9&gt;=0),OFFSET('Input data (2)'!AD$126,'Input data (2)'!$BL$1-$D9,0),IF(AND('Input data (2)'!$C$2=3,$C9&gt;=0),OFFSET('Input data (2)'!AD$126,'Input data (2)'!$BL$1-$C9,0),IF(AND('Input data (2)'!$C$2=2,$B9&gt;=0),OFFSET('Input data (2)'!AD$126,'Input data (2)'!$BL$1-$B9,0),IF(AND('Input data (2)'!$C$2=1,$A9&gt;=0),OFFSET('Input data (2)'!AD$126,'Input data (2)'!$BL$1-$A9,0),""))))</f>
        <v>413</v>
      </c>
      <c r="AL21" s="124">
        <f ca="1">IF(AND('Input data (2)'!$C$2=4,$D9&gt;=0),OFFSET('Input data (2)'!AE$126,'Input data (2)'!$BL$1-$D9,0),IF(AND('Input data (2)'!$C$2=3,$C9&gt;=0),OFFSET('Input data (2)'!AE$126,'Input data (2)'!$BL$1-$C9,0),IF(AND('Input data (2)'!$C$2=2,$B9&gt;=0),OFFSET('Input data (2)'!AE$126,'Input data (2)'!$BL$1-$B9,0),IF(AND('Input data (2)'!$C$2=1,$A9&gt;=0),OFFSET('Input data (2)'!AE$126,'Input data (2)'!$BL$1-$A9,0),""))))</f>
        <v>844</v>
      </c>
      <c r="AW21" s="1">
        <f ca="1">IF(AND('Input data (2)'!$C$2=4,$D9&gt;=0),OFFSET('Input data (2)'!L$126,'Input data (2)'!$BL$1-$D9,0),IF(AND('Input data (2)'!$C$2=3,$C9&gt;=0),OFFSET('Input data (2)'!L$126,'Input data (2)'!$BL$1-$C9,0),IF(AND('Input data (2)'!$C$2=2,$B9&gt;=0),OFFSET('Input data (2)'!L$126,'Input data (2)'!$BL$1-$B9,0),IF(AND('Input data (2)'!$C$2=1,$A9&gt;=0),OFFSET('Input data (2)'!L$126,'Input data (2)'!$BL$1-$A9,0),""))))</f>
        <v>199</v>
      </c>
      <c r="AX21" s="1">
        <f ca="1">IF(AND('Input data (2)'!$C$2=4,$D9&gt;=0),OFFSET('Input data (2)'!M$126,'Input data (2)'!$BL$1-$D9,0),IF(AND('Input data (2)'!$C$2=3,$C9&gt;=0),OFFSET('Input data (2)'!M$126,'Input data (2)'!$BL$1-$C9,0),IF(AND('Input data (2)'!$C$2=2,$B9&gt;=0),OFFSET('Input data (2)'!M$126,'Input data (2)'!$BL$1-$B9,0),IF(AND('Input data (2)'!$C$2=1,$A9&gt;=0),OFFSET('Input data (2)'!M$126,'Input data (2)'!$BL$1-$A9,0),""))))</f>
        <v>0</v>
      </c>
      <c r="AY21" s="1">
        <f ca="1">IF(AND('Input data (2)'!$C$2=4,$D9&gt;=0),OFFSET('Input data (2)'!N$126,'Input data (2)'!$BL$1-$D9,0),IF(AND('Input data (2)'!$C$2=3,$C9&gt;=0),OFFSET('Input data (2)'!N$126,'Input data (2)'!$BL$1-$C9,0),IF(AND('Input data (2)'!$C$2=2,$B9&gt;=0),OFFSET('Input data (2)'!N$126,'Input data (2)'!$BL$1-$B9,0),IF(AND('Input data (2)'!$C$2=1,$A9&gt;=0),OFFSET('Input data (2)'!N$126,'Input data (2)'!$BL$1-$A9,0),""))))</f>
        <v>392</v>
      </c>
      <c r="AZ21" s="1">
        <f ca="1">IF(AND('Input data (2)'!$C$2=4,$D9&gt;=0),OFFSET('Input data (2)'!P$126,'Input data (2)'!$BL$1-$D9,0),IF(AND('Input data (2)'!$C$2=3,$C9&gt;=0),OFFSET('Input data (2)'!P$126,'Input data (2)'!$BL$1-$C9,0),IF(AND('Input data (2)'!$C$2=2,$B9&gt;=0),OFFSET('Input data (2)'!P$126,'Input data (2)'!$BL$1-$B9,0),IF(AND('Input data (2)'!$C$2=1,$A9&gt;=0),OFFSET('Input data (2)'!P$126,'Input data (2)'!$BL$1-$A9,0),""))))</f>
        <v>154</v>
      </c>
      <c r="BB21" s="1">
        <f ca="1">IF(AND('Input data (2)'!$C$2=4,$D9&gt;=0),OFFSET('Input data (2)'!BB$126,'Input data (2)'!$BL$1-$D9,0),IF(AND('Input data (2)'!$C$2=3,$C9&gt;=0),OFFSET('Input data (2)'!BB$126,'Input data (2)'!$BL$1-$C9,0),IF(AND('Input data (2)'!$C$2=2,$B9&gt;=0),OFFSET('Input data (2)'!BB$126,'Input data (2)'!$BL$1-$B9,0),IF(AND('Input data (2)'!$C$2=1,$A9&gt;=0),OFFSET('Input data (2)'!BB$126,'Input data (2)'!$BL$1-$A9,0),""))))</f>
        <v>2160</v>
      </c>
      <c r="BC21" s="1">
        <f ca="1">IF(AND('Input data (2)'!$C$2=4,$D9&gt;=0),OFFSET('Input data (2)'!AY$126,'Input data (2)'!$BL$1-$D9,0),IF(AND('Input data (2)'!$C$2=3,$C9&gt;=0),OFFSET('Input data (2)'!AY$126,'Input data (2)'!$BL$1-$C9,0),IF(AND('Input data (2)'!$C$2=2,$B9&gt;=0),OFFSET('Input data (2)'!AY$126,'Input data (2)'!$BL$1-$B9,0),IF(AND('Input data (2)'!$C$2=1,$A9&gt;=0),OFFSET('Input data (2)'!AY$126,'Input data (2)'!$BL$1-$A9,0),""))))</f>
        <v>851</v>
      </c>
      <c r="BD21" s="1" t="str">
        <f ca="1">IF(AND('Input data (2)'!$C$2=4,$D9&gt;=0),OFFSET('Input data (2)'!AZ$126,'Input data (2)'!$BL$1-$D9,0),IF(AND('Input data (2)'!$C$2=3,$C9&gt;=0),OFFSET('Input data (2)'!AZ$126,'Input data (2)'!$BL$1-$C9,0),IF(AND('Input data (2)'!$C$2=2,$B9&gt;=0),OFFSET('Input data (2)'!AZ$126,'Input data (2)'!$BL$1-$B9,0),IF(AND('Input data (2)'!$C$2=1,$A9&gt;=0),OFFSET('Input data (2)'!AZ$126,'Input data (2)'!$BL$1-$A9,0),""))))</f>
        <v>:</v>
      </c>
      <c r="BE21" s="1">
        <f ca="1">IF(AND('Input data (2)'!$C$2=4,$D9&gt;=0),OFFSET('Input data (2)'!BA$126,'Input data (2)'!$BL$1-$D9,0),IF(AND('Input data (2)'!$C$2=3,$C9&gt;=0),OFFSET('Input data (2)'!BA$126,'Input data (2)'!$BL$1-$C9,0),IF(AND('Input data (2)'!$C$2=2,$B9&gt;=0),OFFSET('Input data (2)'!BA$126,'Input data (2)'!$BL$1-$B9,0),IF(AND('Input data (2)'!$C$2=1,$A9&gt;=0),OFFSET('Input data (2)'!BA$126,'Input data (2)'!$BL$1-$A9,0),""))))</f>
        <v>1309</v>
      </c>
      <c r="BF21" s="1">
        <f ca="1">IF(AND('Input data (2)'!$C$2=4,$D9&gt;=0),OFFSET('Input data (2)'!AP$126,'Input data (2)'!$BL$1-$D9,0),IF(AND('Input data (2)'!$C$2=3,$C9&gt;=0),OFFSET('Input data (2)'!AP$126,'Input data (2)'!$BL$1-$C9,0),IF(AND('Input data (2)'!$C$2=2,$B9&gt;=0),OFFSET('Input data (2)'!AP$126,'Input data (2)'!$BL$1-$B9,0),IF(AND('Input data (2)'!$C$2=1,$A9&gt;=0),OFFSET('Input data (2)'!AP$126,'Input data (2)'!$BL$1-$A9,0),""))))</f>
        <v>147</v>
      </c>
      <c r="BG21" s="1">
        <f ca="1">IF(AND('Input data (2)'!$C$2=4,$D9&gt;=0),OFFSET('Input data (2)'!AN$126,'Input data (2)'!$BL$1-$D9,0),IF(AND('Input data (2)'!$C$2=3,$C9&gt;=0),OFFSET('Input data (2)'!AN$126,'Input data (2)'!$BL$1-$C9,0),IF(AND('Input data (2)'!$C$2=2,$B9&gt;=0),OFFSET('Input data (2)'!AN$126,'Input data (2)'!$BL$1-$B9,0),IF(AND('Input data (2)'!$C$2=1,$A9&gt;=0),OFFSET('Input data (2)'!AN$126,'Input data (2)'!$BL$1-$A9,0),""))))</f>
        <v>110</v>
      </c>
      <c r="BH21" s="1">
        <f ca="1">IF(AND('Input data (2)'!$C$2=4,$D9&gt;=0),OFFSET('Input data (2)'!AO$126,'Input data (2)'!$BL$1-$D9,0),IF(AND('Input data (2)'!$C$2=3,$C9&gt;=0),OFFSET('Input data (2)'!AO$126,'Input data (2)'!$BL$1-$C9,0),IF(AND('Input data (2)'!$C$2=2,$B9&gt;=0),OFFSET('Input data (2)'!AO$126,'Input data (2)'!$BL$1-$B9,0),IF(AND('Input data (2)'!$C$2=1,$A9&gt;=0),OFFSET('Input data (2)'!AO$126,'Input data (2)'!$BL$1-$A9,0),""))))</f>
        <v>37</v>
      </c>
      <c r="BJ21" s="1">
        <f ca="1">IF(AND('Input data (2)'!$C$2=4,$D9&gt;=0),OFFSET('Input data (2)'!AU$126,'Input data (2)'!$BL$1-$D9,0),IF(AND('Input data (2)'!$C$2=3,$C9&gt;=0),OFFSET('Input data (2)'!AU$126,'Input data (2)'!$BL$1-$C9,0),IF(AND('Input data (2)'!$C$2=2,$B9&gt;=0),OFFSET('Input data (2)'!AU$126,'Input data (2)'!$BL$1-$B9,0),IF(AND('Input data (2)'!$C$2=1,$A9&gt;=0),OFFSET('Input data (2)'!AU$126,'Input data (2)'!$BL$1-$A9,0),""))))</f>
        <v>23</v>
      </c>
      <c r="BK21" s="1">
        <f ca="1">IF(AND('Input data (2)'!$C$2=4,$D9&gt;=0),OFFSET('Input data (2)'!AV$126,'Input data (2)'!$BL$1-$D9,0),IF(AND('Input data (2)'!$C$2=3,$C9&gt;=0),OFFSET('Input data (2)'!AV$126,'Input data (2)'!$BL$1-$C9,0),IF(AND('Input data (2)'!$C$2=2,$B9&gt;=0),OFFSET('Input data (2)'!AV$126,'Input data (2)'!$BL$1-$B9,0),IF(AND('Input data (2)'!$C$2=1,$A9&gt;=0),OFFSET('Input data (2)'!AV$126,'Input data (2)'!$BL$1-$A9,0),""))))</f>
        <v>0</v>
      </c>
      <c r="BL21" s="1">
        <f ca="1">IF(AND('Input data (2)'!$C$2=4,$D9&gt;=0),OFFSET('Input data (2)'!AW$126,'Input data (2)'!$BL$1-$D9,0),IF(AND('Input data (2)'!$C$2=3,$C9&gt;=0),OFFSET('Input data (2)'!AW$126,'Input data (2)'!$BL$1-$C9,0),IF(AND('Input data (2)'!$C$2=2,$B9&gt;=0),OFFSET('Input data (2)'!AW$126,'Input data (2)'!$BL$1-$B9,0),IF(AND('Input data (2)'!$C$2=1,$A9&gt;=0),OFFSET('Input data (2)'!AW$126,'Input data (2)'!$BL$1-$A9,0),""))))</f>
        <v>11</v>
      </c>
      <c r="BM21" s="1">
        <f ca="1">IF(AND('Input data (2)'!$C$2=4,$D9&gt;=0),OFFSET('Input data (2)'!AX$126,'Input data (2)'!$BL$1-$D9,0),IF(AND('Input data (2)'!$C$2=3,$C9&gt;=0),OFFSET('Input data (2)'!AX$126,'Input data (2)'!$BL$1-$C9,0),IF(AND('Input data (2)'!$C$2=2,$B9&gt;=0),OFFSET('Input data (2)'!AX$126,'Input data (2)'!$BL$1-$B9,0),IF(AND('Input data (2)'!$C$2=1,$A9&gt;=0),OFFSET('Input data (2)'!AX$126,'Input data (2)'!$BL$1-$A9,0),""))))</f>
        <v>4</v>
      </c>
      <c r="BO21" s="1">
        <f ca="1">IF(AND('Input data (2)'!$C$2=4,$D9&gt;=0),OFFSET('Input data (2)'!BL$126,'Input data (2)'!$BL$1-$D9,0),IF(AND('Input data (2)'!$C$2=3,$C9&gt;=0),OFFSET('Input data (2)'!BL$126,'Input data (2)'!$BL$1-$C9,0),IF(AND('Input data (2)'!$C$2=2,$B9&gt;=0),OFFSET('Input data (2)'!BL$126,'Input data (2)'!$BL$1-$B9,0),IF(AND('Input data (2)'!$C$2=1,$A9&gt;=0),OFFSET('Input data (2)'!BL$126,'Input data (2)'!$BL$1-$A9,0),""))))</f>
        <v>282</v>
      </c>
      <c r="BP21" s="1">
        <f ca="1">IF(AND('Input data (2)'!$C$2=4,$D9&gt;=0),OFFSET('Input data (2)'!BI$126,'Input data (2)'!$BL$1-$D9,0),IF(AND('Input data (2)'!$C$2=3,$C9&gt;=0),OFFSET('Input data (2)'!BI$126,'Input data (2)'!$BL$1-$C9,0),IF(AND('Input data (2)'!$C$2=2,$B9&gt;=0),OFFSET('Input data (2)'!BI$126,'Input data (2)'!$BL$1-$B9,0),IF(AND('Input data (2)'!$C$2=1,$A9&gt;=0),OFFSET('Input data (2)'!BI$126,'Input data (2)'!$BL$1-$A9,0),""))))</f>
        <v>173</v>
      </c>
      <c r="BQ21" s="1" t="str">
        <f ca="1">IF(AND('Input data (2)'!$C$2=4,$D9&gt;=0),OFFSET('Input data (2)'!BK$126,'Input data (2)'!$BL$1-$D9,0),IF(AND('Input data (2)'!$C$2=3,$C9&gt;=0),OFFSET('Input data (2)'!BK$126,'Input data (2)'!$BL$1-$C9,0),IF(AND('Input data (2)'!$C$2=2,$B9&gt;=0),OFFSET('Input data (2)'!BK$126,'Input data (2)'!$BL$1-$B9,0),IF(AND('Input data (2)'!$C$2=1,$A9&gt;=0),OFFSET('Input data (2)'!BK$126,'Input data (2)'!$BL$1-$A9,0),""))))</f>
        <v>..</v>
      </c>
      <c r="BR21" s="1">
        <f ca="1">IF(AND('Input data (2)'!$C$2=4,$D9&gt;=0),OFFSET('Input data (2)'!BJ$126,'Input data (2)'!$BL$1-$D9,0),IF(AND('Input data (2)'!$C$2=3,$C9&gt;=0),OFFSET('Input data (2)'!BJ$126,'Input data (2)'!$BL$1-$C9,0),IF(AND('Input data (2)'!$C$2=2,$B9&gt;=0),OFFSET('Input data (2)'!BJ$126,'Input data (2)'!$BL$1-$B9,0),IF(AND('Input data (2)'!$C$2=1,$A9&gt;=0),OFFSET('Input data (2)'!BJ$126,'Input data (2)'!$BL$1-$A9,0),""))))</f>
        <v>109</v>
      </c>
      <c r="BS21" s="1">
        <f ca="1">IF(AND('Input data (2)'!$C$2=4,$D9&gt;=0),OFFSET('Input data (2)'!BF$126,'Input data (2)'!$BL$1-$D9,0),IF(AND('Input data (2)'!$C$2=3,$C9&gt;=0),OFFSET('Input data (2)'!BF$126,'Input data (2)'!$BL$1-$C9,0),IF(AND('Input data (2)'!$C$2=2,$B9&gt;=0),OFFSET('Input data (2)'!BF$126,'Input data (2)'!$BL$1-$B9,0),IF(AND('Input data (2)'!$C$2=1,$A9&gt;=0),OFFSET('Input data (2)'!BF$126,'Input data (2)'!$BL$1-$A9,0),""))))</f>
        <v>39</v>
      </c>
      <c r="BT21" s="1">
        <f ca="1">IF(AND('Input data (2)'!$C$2=4,$D9&gt;=0),OFFSET('Input data (2)'!BD$126,'Input data (2)'!$BL$1-$D9,0),IF(AND('Input data (2)'!$C$2=3,$C9&gt;=0),OFFSET('Input data (2)'!BD$126,'Input data (2)'!$BL$1-$C9,0),IF(AND('Input data (2)'!$C$2=2,$B9&gt;=0),OFFSET('Input data (2)'!BD$126,'Input data (2)'!$BL$1-$B9,0),IF(AND('Input data (2)'!$C$2=1,$A9&gt;=0),OFFSET('Input data (2)'!BD$126,'Input data (2)'!$BL$1-$A9,0),""))))</f>
        <v>27</v>
      </c>
      <c r="BU21" s="1">
        <f ca="1">IF(AND('Input data (2)'!$C$2=4,$D9&gt;=0),OFFSET('Input data (2)'!BE$126,'Input data (2)'!$BL$1-$D9,0),IF(AND('Input data (2)'!$C$2=3,$C9&gt;=0),OFFSET('Input data (2)'!BE$126,'Input data (2)'!$BL$1-$C9,0),IF(AND('Input data (2)'!$C$2=2,$B9&gt;=0),OFFSET('Input data (2)'!BE$126,'Input data (2)'!$BL$1-$B9,0),IF(AND('Input data (2)'!$C$2=1,$A9&gt;=0),OFFSET('Input data (2)'!BE$126,'Input data (2)'!$BL$1-$A9,0),""))))</f>
        <v>12</v>
      </c>
      <c r="BW21" s="7">
        <f ca="1">IF(AND('Input data (2)'!$C$2=4,$D9&gt;=0),OFFSET('Input data (2)'!J$126,'Input data (2)'!$BL$1-$D9,0),IF(AND('Input data (2)'!$C$2=3,$C9&gt;=0),OFFSET('Input data (2)'!J$126,'Input data (2)'!$BL$1-$C9,0),IF(AND('Input data (2)'!$C$2=2,$B9&gt;=0),OFFSET('Input data (2)'!J$126,'Input data (2)'!$BL$1-$B9,0),IF(AND('Input data (2)'!$C$2=1,$A9&gt;=0),OFFSET('Input data (2)'!J$126,'Input data (2)'!$BL$1-$A9,0),""))))</f>
        <v>0.76411900584607939</v>
      </c>
      <c r="BX21" s="7">
        <f ca="1">IF(AND('Input data (2)'!$C$2=4,$D9&gt;=0),OFFSET('Input data (2)'!K$126,'Input data (2)'!$BL$1-$D9,0),IF(AND('Input data (2)'!$C$2=3,$C9&gt;=0),OFFSET('Input data (2)'!K$126,'Input data (2)'!$BL$1-$C9,0),IF(AND('Input data (2)'!$C$2=2,$B9&gt;=0),OFFSET('Input data (2)'!K$126,'Input data (2)'!$BL$1-$B9,0),IF(AND('Input data (2)'!$C$2=1,$A9&gt;=0),OFFSET('Input data (2)'!K$126,'Input data (2)'!$BL$1-$A9,0),""))))</f>
        <v>0.69748987483991265</v>
      </c>
      <c r="BY21" s="7">
        <f ca="1">IF(AND('Input data (2)'!$C$2=4,$D9&gt;=0),OFFSET('Input data (2)'!AS$126,'Input data (2)'!$BL$1-$D9,0),IF(AND('Input data (2)'!$C$2=3,$C9&gt;=0),OFFSET('Input data (2)'!AS$126,'Input data (2)'!$BL$1-$C9,0),IF(AND('Input data (2)'!$C$2=2,$B9&gt;=0),OFFSET('Input data (2)'!AS$126,'Input data (2)'!$BL$1-$B9,0),IF(AND('Input data (2)'!$C$2=1,$A9&gt;=0),OFFSET('Input data (2)'!AS$126,'Input data (2)'!$BL$1-$A9,0),""))))</f>
        <v>0.59821515340713205</v>
      </c>
      <c r="BZ21" s="7">
        <f ca="1">IF(AND('Input data (2)'!$C$2=4,$D9&gt;=0),OFFSET('Input data (2)'!AT$126,'Input data (2)'!$BL$1-$D9,0),IF(AND('Input data (2)'!$C$2=3,$C9&gt;=0),OFFSET('Input data (2)'!AT$126,'Input data (2)'!$BL$1-$C9,0),IF(AND('Input data (2)'!$C$2=2,$B9&gt;=0),OFFSET('Input data (2)'!AT$126,'Input data (2)'!$BL$1-$B9,0),IF(AND('Input data (2)'!$C$2=1,$A9&gt;=0),OFFSET('Input data (2)'!AT$126,'Input data (2)'!$BL$1-$A9,0),""))))</f>
        <v>0.54817782112562163</v>
      </c>
      <c r="CB21" s="122"/>
      <c r="CC21" s="122"/>
      <c r="CD21" s="122"/>
      <c r="CE21" s="122"/>
      <c r="CG21" s="1">
        <v>23</v>
      </c>
      <c r="CI21" s="1">
        <f t="shared" ca="1" si="24"/>
        <v>2007</v>
      </c>
      <c r="CJ21" s="1" t="str">
        <f t="shared" si="25"/>
        <v>Q3</v>
      </c>
      <c r="CK21" s="1" t="str">
        <f t="shared" ca="1" si="12"/>
        <v>07</v>
      </c>
      <c r="CL21" s="1" t="str">
        <f t="shared" ca="1" si="13"/>
        <v>Q3 07</v>
      </c>
      <c r="CM21" s="1">
        <f ca="1">OFFSET('Input data (2)'!AJ$126,'Input data (2)'!$BL$1-'Output data - DO NOT TOUCH (2)'!$CG21,0)/1000</f>
        <v>15.933999999999999</v>
      </c>
      <c r="CN21" s="1">
        <f ca="1">OFFSET('Input data (2)'!AK$126,'Input data (2)'!$BL$1-'Output data - DO NOT TOUCH (2)'!$CG21,0)/1000</f>
        <v>10.085000000000001</v>
      </c>
      <c r="CO21" s="1">
        <f ca="1">OFFSET('Input data (2)'!AL$126,'Input data (2)'!$BL$1-'Output data - DO NOT TOUCH (2)'!$CG21,0)/1000</f>
        <v>26.018999999999998</v>
      </c>
      <c r="CP21" s="1"/>
      <c r="CQ21" s="1">
        <f ca="1">OFFSET('Input data (2)'!AG$126,'Input data (2)'!$BL$1-'Output data - DO NOT TOUCH (2)'!$CG21,0)/1000</f>
        <v>1.296</v>
      </c>
      <c r="CR21" s="1">
        <f ca="1">OFFSET('Input data (2)'!AH$126,'Input data (2)'!$BL$1-'Output data - DO NOT TOUCH (2)'!$CG21,0)/1000</f>
        <v>1.9079999999999999</v>
      </c>
      <c r="CS21" s="1">
        <f ca="1">OFFSET('Input data (2)'!AI$126,'Input data (2)'!$BL$1-'Output data - DO NOT TOUCH (2)'!$CG21,0)/1000</f>
        <v>3.2040000000000002</v>
      </c>
      <c r="CT21" s="1"/>
      <c r="CU21" s="1">
        <f ca="1">OFFSET('Input data (2)'!L$126,'Input data (2)'!$BL$1-'Output data - DO NOT TOUCH (2)'!$CG21,0)</f>
        <v>80</v>
      </c>
      <c r="CV21" s="1">
        <f ca="1">OFFSET('Input data (2)'!M$126,'Input data (2)'!$BL$1-'Output data - DO NOT TOUCH (2)'!$CG21,0)</f>
        <v>2</v>
      </c>
      <c r="CW21" s="67">
        <f ca="1">OFFSET('Input data (2)'!N$126,'Input data (2)'!$BL$1-'Output data - DO NOT TOUCH (2)'!$CG21,0)</f>
        <v>666</v>
      </c>
      <c r="CX21" s="1">
        <f ca="1">OFFSET('Input data (2)'!P$126,'Input data (2)'!$BL$1-'Output data - DO NOT TOUCH (2)'!$CG21,0)</f>
        <v>129</v>
      </c>
      <c r="CY21" s="1"/>
      <c r="CZ21" s="1">
        <f ca="1">OFFSET('Input data (2)'!AY$126,'Input data (2)'!$BL$1-'Output data - DO NOT TOUCH (2)'!$CG21,0)/1000</f>
        <v>1.5449999999999999</v>
      </c>
      <c r="DA21" s="1">
        <f ca="1">OFFSET('Input data (2)'!BA$126,'Input data (2)'!$BL$1-'Output data - DO NOT TOUCH (2)'!$CG21,0)/1000</f>
        <v>1.982</v>
      </c>
      <c r="DB21" s="1">
        <f ca="1">OFFSET('Input data (2)'!BB$126,'Input data (2)'!$BL$1-'Output data - DO NOT TOUCH (2)'!$CG21,0)/1000</f>
        <v>3.5270000000000001</v>
      </c>
      <c r="DD21" s="1">
        <f ca="1">OFFSET('Input data (2)'!AN$126,'Input data (2)'!$BL$1-'Output data - DO NOT TOUCH (2)'!$CG21,0)</f>
        <v>105</v>
      </c>
      <c r="DE21" s="1">
        <f ca="1">OFFSET('Input data (2)'!AO$126,'Input data (2)'!$BL$1-'Output data - DO NOT TOUCH (2)'!$CG21,0)</f>
        <v>20</v>
      </c>
      <c r="DF21" s="1">
        <f ca="1">OFFSET('Input data (2)'!AP$126,'Input data (2)'!$BL$1-'Output data - DO NOT TOUCH (2)'!$CG21,0)</f>
        <v>125</v>
      </c>
      <c r="DG21" s="1"/>
      <c r="DH21" s="1">
        <f ca="1">OFFSET('Input data (2)'!AU$126,'Input data (2)'!$BL$1-'Output data - DO NOT TOUCH (2)'!$CG21,0)</f>
        <v>8</v>
      </c>
      <c r="DI21" s="1">
        <f ca="1">OFFSET('Input data (2)'!AV$126,'Input data (2)'!$BL$1-'Output data - DO NOT TOUCH (2)'!$CG21,0)</f>
        <v>0</v>
      </c>
      <c r="DJ21" s="1">
        <f ca="1">OFFSET('Input data (2)'!AW$126,'Input data (2)'!$BL$1-'Output data - DO NOT TOUCH (2)'!$CG21,0)</f>
        <v>6</v>
      </c>
      <c r="DK21" s="1">
        <f ca="1">OFFSET('Input data (2)'!AX$126,'Input data (2)'!$BL$1-'Output data - DO NOT TOUCH (2)'!$CG21,0)</f>
        <v>2</v>
      </c>
      <c r="DM21" s="1">
        <f ca="1">OFFSET('Input data (2)'!BI$126,'Input data (2)'!$BL$1-'Output data - DO NOT TOUCH (2)'!$CG21,0)</f>
        <v>227</v>
      </c>
      <c r="DN21" s="1">
        <f ca="1">OFFSET('Input data (2)'!BJ$126,'Input data (2)'!$BL$1-'Output data - DO NOT TOUCH (2)'!$CG21,0)</f>
        <v>111</v>
      </c>
      <c r="DO21" s="1">
        <f ca="1">OFFSET('Input data (2)'!BL$126,'Input data (2)'!$BL$1-'Output data - DO NOT TOUCH (2)'!$CG21,0)</f>
        <v>338</v>
      </c>
      <c r="DQ21" s="1">
        <f ca="1">OFFSET('Input data (2)'!BD$126,'Input data (2)'!$BL$1-'Output data - DO NOT TOUCH (2)'!$CG21,0)</f>
        <v>28</v>
      </c>
      <c r="DR21" s="1">
        <f ca="1">OFFSET('Input data (2)'!BE$126,'Input data (2)'!$BL$1-'Output data - DO NOT TOUCH (2)'!$CG21,0)</f>
        <v>14</v>
      </c>
      <c r="DS21" s="1">
        <f ca="1">OFFSET('Input data (2)'!BF$126,'Input data (2)'!$BL$1-'Output data - DO NOT TOUCH (2)'!$CG21,0)</f>
        <v>42</v>
      </c>
      <c r="DU21" s="1">
        <f ca="1">OFFSET('Input data (2)'!B$126,'Input data (2)'!$BL$1-'Output data - DO NOT TOUCH (2)'!$CG21-1,0)</f>
        <v>2007</v>
      </c>
      <c r="DV21" s="1" t="str">
        <f ca="1">OFFSET('Input data (2)'!C$126,'Input data (2)'!$BL$1-'Output data - DO NOT TOUCH (2)'!$CG21-1,0)</f>
        <v>Q2</v>
      </c>
      <c r="DW21" s="1" t="str">
        <f t="shared" ca="1" si="14"/>
        <v>07</v>
      </c>
      <c r="DX21" s="1" t="str">
        <f t="shared" ca="1" si="15"/>
        <v>Q2 07</v>
      </c>
      <c r="DY21" s="1">
        <f ca="1">OFFSET('Input data (2)'!W$126,'Input data (2)'!$BL$1-'Output data - DO NOT TOUCH (2)'!$CG21-1,0)/1000</f>
        <v>1.7669999999999999</v>
      </c>
      <c r="DZ21" s="1">
        <f ca="1">OFFSET('Input data (2)'!Y$126,'Input data (2)'!$BL$1-'Output data - DO NOT TOUCH (2)'!$CG21-1,0)/1000</f>
        <v>14.722</v>
      </c>
      <c r="EA21" s="1">
        <f ca="1">OFFSET('Input data (2)'!Q$126,'Input data (2)'!$BL$1-'Output data - DO NOT TOUCH (2)'!$CG21-1,0)/1000</f>
        <v>16.489000000000001</v>
      </c>
      <c r="EC21" s="3" t="str">
        <f t="shared" ca="1" si="26"/>
        <v>Q4 12</v>
      </c>
      <c r="ED21" s="68" t="e">
        <f t="shared" ca="1" si="27"/>
        <v>#VALUE!</v>
      </c>
      <c r="EE21" s="68" t="e">
        <f t="shared" ca="1" si="28"/>
        <v>#VALUE!</v>
      </c>
      <c r="EF21" s="68" t="e">
        <f t="shared" ca="1" si="29"/>
        <v>#VALUE!</v>
      </c>
      <c r="EH21" s="68">
        <f t="shared" ca="1" si="30"/>
        <v>-10.945505356311132</v>
      </c>
      <c r="EI21" s="68">
        <f t="shared" ca="1" si="31"/>
        <v>-2.3288309268743063E-2</v>
      </c>
      <c r="EJ21" s="68">
        <f t="shared" ca="1" si="32"/>
        <v>-10.968793665579875</v>
      </c>
    </row>
    <row r="22" spans="1:140" x14ac:dyDescent="0.15">
      <c r="A22" s="1">
        <v>22</v>
      </c>
      <c r="B22" s="1">
        <v>23</v>
      </c>
      <c r="C22" s="1">
        <v>24</v>
      </c>
      <c r="D22" s="1">
        <v>21</v>
      </c>
      <c r="E22" s="1" t="str">
        <f>F22&amp;G22</f>
        <v>2004Q3</v>
      </c>
      <c r="F22" s="1">
        <f>F17+1</f>
        <v>2004</v>
      </c>
      <c r="G22" s="1" t="s">
        <v>3</v>
      </c>
      <c r="H22" s="1">
        <f>VLOOKUP($E22,'Input data (2)'!$A:$BL,'Output data - DO NOT TOUCH (2)'!H$71,FALSE)</f>
        <v>2900</v>
      </c>
      <c r="I22" s="1">
        <f>VLOOKUP($E22,'Input data (2)'!$A:$BL,'Output data - DO NOT TOUCH (2)'!I$71,FALSE)</f>
        <v>1061</v>
      </c>
      <c r="J22" s="1">
        <f>VLOOKUP($E22,'Input data (2)'!$A:$BL,'Output data - DO NOT TOUCH (2)'!J$71,FALSE)</f>
        <v>1839</v>
      </c>
      <c r="K22" s="1">
        <f>VLOOKUP($E22,'Input data (2)'!$A:$BL,'Output data - DO NOT TOUCH (2)'!K$71,FALSE)</f>
        <v>2987</v>
      </c>
      <c r="L22" s="1">
        <f>VLOOKUP($E22,'Input data (2)'!$A:$BL,'Output data - DO NOT TOUCH (2)'!L$71,FALSE)</f>
        <v>1115</v>
      </c>
      <c r="M22" s="1">
        <f>VLOOKUP($E22,'Input data (2)'!$A:$BL,'Output data - DO NOT TOUCH (2)'!M$71,FALSE)</f>
        <v>1872</v>
      </c>
      <c r="O22" s="119">
        <f ca="1">IF(AND('Input data (2)'!$C$2=4,$D10&gt;=0),OFFSET('Input data (2)'!O$126,'Input data (2)'!$BL$1-$D10,0),IF(AND('Input data (2)'!$C$2=3,$C10&gt;=0),OFFSET('Input data (2)'!O$126,'Input data (2)'!$BL$1-$C10,0),IF(AND('Input data (2)'!$C$2=2,$B10&gt;=0),OFFSET('Input data (2)'!O$126,'Input data (2)'!$BL$1-$B10,0),IF(AND('Input data (2)'!$C$2=1,$A10&gt;=0),OFFSET('Input data (2)'!O$126,'Input data (2)'!$BL$1-$A10,0),""))))</f>
        <v>36</v>
      </c>
      <c r="Q22" s="1">
        <f ca="1">IF(AND('Input data (2)'!$C$2=4,$D10&gt;=0),OFFSET('Input data (2)'!AC$126,'Input data (2)'!$BL$1-$D10,0),IF(AND('Input data (2)'!$C$2=3,$C10&gt;=0),OFFSET('Input data (2)'!AC$126,'Input data (2)'!$BL$1-$C10,0),IF(AND('Input data (2)'!$C$2=2,$B10&gt;=0),OFFSET('Input data (2)'!AC$126,'Input data (2)'!$BL$1-$B10,0),IF(AND('Input data (2)'!$C$2=1,$A10&gt;=0),OFFSET('Input data (2)'!AC$126,'Input data (2)'!$BL$1-$A10,0),""))))</f>
        <v>12227</v>
      </c>
      <c r="R22" s="1">
        <f ca="1">IF(AND('Input data (2)'!$C$2=4,$D10&gt;=0),OFFSET('Input data (2)'!Q$126,'Input data (2)'!$BL$1-$D10,0),IF(AND('Input data (2)'!$C$2=3,$C10&gt;=0),OFFSET('Input data (2)'!Q$126,'Input data (2)'!$BL$1-$C10,0),IF(AND('Input data (2)'!$C$2=2,$B10&gt;=0),OFFSET('Input data (2)'!Q$126,'Input data (2)'!$BL$1-$B10,0),IF(AND('Input data (2)'!$C$2=1,$A10&gt;=0),OFFSET('Input data (2)'!Q$126,'Input data (2)'!$BL$1-$A10,0),""))))</f>
        <v>9315</v>
      </c>
      <c r="S22" s="1" t="str">
        <f ca="1">IF(AND('Input data (2)'!$C$2=4,$D10&gt;=0),OFFSET('Input data (2)'!R$126,'Input data (2)'!$BL$1-$D10,0),IF(AND('Input data (2)'!$C$2=3,$C10&gt;=0),OFFSET('Input data (2)'!R$126,'Input data (2)'!$BL$1-$C10,0),IF(AND('Input data (2)'!$C$2=2,$B10&gt;=0),OFFSET('Input data (2)'!R$126,'Input data (2)'!$BL$1-$B10,0),IF(AND('Input data (2)'!$C$2=1,$A10&gt;=0),OFFSET('Input data (2)'!R$126,'Input data (2)'!$BL$1-$A10,0),""))))</f>
        <v>:</v>
      </c>
      <c r="T22" s="1">
        <f ca="1">IF(AND('Input data (2)'!$C$2=4,$D10&gt;=0),OFFSET('Input data (2)'!AA$126,'Input data (2)'!$BL$1-$D10,0),IF(AND('Input data (2)'!$C$2=3,$C10&gt;=0),OFFSET('Input data (2)'!AA$126,'Input data (2)'!$BL$1-$C10,0),IF(AND('Input data (2)'!$C$2=2,$B10&gt;=0),OFFSET('Input data (2)'!AA$126,'Input data (2)'!$BL$1-$B10,0),IF(AND('Input data (2)'!$C$2=1,$A10&gt;=0),OFFSET('Input data (2)'!AA$126,'Input data (2)'!$BL$1-$A10,0),""))))</f>
        <v>2912</v>
      </c>
      <c r="U22" s="1">
        <f ca="1">IF(AND('Input data (2)'!$C$2=4,$D10&gt;=0),OFFSET('Input data (2)'!AL$126,'Input data (2)'!$BL$1-$D10,0),IF(AND('Input data (2)'!$C$2=3,$C10&gt;=0),OFFSET('Input data (2)'!AL$126,'Input data (2)'!$BL$1-$C10,0),IF(AND('Input data (2)'!$C$2=2,$B10&gt;=0),OFFSET('Input data (2)'!AL$126,'Input data (2)'!$BL$1-$B10,0),IF(AND('Input data (2)'!$C$2=1,$A10&gt;=0),OFFSET('Input data (2)'!AL$126,'Input data (2)'!$BL$1-$A10,0),""))))</f>
        <v>12124</v>
      </c>
      <c r="V22" s="1">
        <f ca="1">IF(AND('Input data (2)'!$C$2=4,$D10&gt;=0),OFFSET('Input data (2)'!AJ$126,'Input data (2)'!$BL$1-$D10,0),IF(AND('Input data (2)'!$C$2=3,$C10&gt;=0),OFFSET('Input data (2)'!AJ$126,'Input data (2)'!$BL$1-$C10,0),IF(AND('Input data (2)'!$C$2=2,$B10&gt;=0),OFFSET('Input data (2)'!AJ$126,'Input data (2)'!$BL$1-$B10,0),IF(AND('Input data (2)'!$C$2=1,$A10&gt;=0),OFFSET('Input data (2)'!AJ$126,'Input data (2)'!$BL$1-$A10,0),""))))</f>
        <v>9365</v>
      </c>
      <c r="W22" s="1">
        <f ca="1">IF(AND('Input data (2)'!$C$2=4,$D10&gt;=0),OFFSET('Input data (2)'!AK$126,'Input data (2)'!$BL$1-$D10,0),IF(AND('Input data (2)'!$C$2=3,$C10&gt;=0),OFFSET('Input data (2)'!AK$126,'Input data (2)'!$BL$1-$C10,0),IF(AND('Input data (2)'!$C$2=2,$B10&gt;=0),OFFSET('Input data (2)'!AK$126,'Input data (2)'!$BL$1-$B10,0),IF(AND('Input data (2)'!$C$2=1,$A10&gt;=0),OFFSET('Input data (2)'!AK$126,'Input data (2)'!$BL$1-$A10,0),""))))</f>
        <v>2759</v>
      </c>
      <c r="Y22" s="1">
        <f ca="1">IF(AND('Input data (2)'!$C$2=4,$D10&gt;=0),OFFSET('Input data (2)'!Q$126,'Input data (2)'!$BL$1-$D10,0),IF(AND('Input data (2)'!$C$2=3,$C10&gt;=0),OFFSET('Input data (2)'!Q$126,'Input data (2)'!$BL$1-$C10,0),IF(AND('Input data (2)'!$C$2=2,$B10&gt;=0),OFFSET('Input data (2)'!Q$126,'Input data (2)'!$BL$1-$B10,0),IF(AND('Input data (2)'!$C$2=1,$A10&gt;=0),OFFSET('Input data (2)'!Q$126,'Input data (2)'!$BL$1-$A10,0),""))))</f>
        <v>9315</v>
      </c>
      <c r="Z22" s="1">
        <f ca="1">IF(AND('Input data (2)'!$C$2=4,$D10&gt;=0),OFFSET('Input data (2)'!S$126,'Input data (2)'!$BL$1-$D10,0),IF(AND('Input data (2)'!$C$2=3,$C10&gt;=0),OFFSET('Input data (2)'!S$126,'Input data (2)'!$BL$1-$C10,0),IF(AND('Input data (2)'!$C$2=2,$B10&gt;=0),OFFSET('Input data (2)'!S$126,'Input data (2)'!$BL$1-$B10,0),IF(AND('Input data (2)'!$C$2=1,$A10&gt;=0),OFFSET('Input data (2)'!S$126,'Input data (2)'!$BL$1-$A10,0),""))))</f>
        <v>7236</v>
      </c>
      <c r="AA22" s="1">
        <f ca="1">IF(AND('Input data (2)'!$C$2=4,$D10&gt;=0),OFFSET('Input data (2)'!T$126,'Input data (2)'!$BL$1-$D10,0),IF(AND('Input data (2)'!$C$2=3,$C10&gt;=0),OFFSET('Input data (2)'!T$126,'Input data (2)'!$BL$1-$C10,0),IF(AND('Input data (2)'!$C$2=2,$B10&gt;=0),OFFSET('Input data (2)'!T$126,'Input data (2)'!$BL$1-$B10,0),IF(AND('Input data (2)'!$C$2=1,$A10&gt;=0),OFFSET('Input data (2)'!T$126,'Input data (2)'!$BL$1-$A10,0),""))))</f>
        <v>77.681159420289859</v>
      </c>
      <c r="AB22" s="1">
        <f ca="1">IF(AND('Input data (2)'!$C$2=4,$D10&gt;=0),OFFSET('Input data (2)'!U$126,'Input data (2)'!$BL$1-$D10,0),IF(AND('Input data (2)'!$C$2=3,$C10&gt;=0),OFFSET('Input data (2)'!U$126,'Input data (2)'!$BL$1-$C10,0),IF(AND('Input data (2)'!$C$2=2,$B10&gt;=0),OFFSET('Input data (2)'!U$126,'Input data (2)'!$BL$1-$B10,0),IF(AND('Input data (2)'!$C$2=1,$A10&gt;=0),OFFSET('Input data (2)'!U$126,'Input data (2)'!$BL$1-$A10,0),""))))</f>
        <v>2079</v>
      </c>
      <c r="AC22" s="1">
        <f ca="1">IF(AND('Input data (2)'!$C$2=4,$D10&gt;=0),OFFSET('Input data (2)'!V$126,'Input data (2)'!$BL$1-$D10,0),IF(AND('Input data (2)'!$C$2=3,$C10&gt;=0),OFFSET('Input data (2)'!V$126,'Input data (2)'!$BL$1-$C10,0),IF(AND('Input data (2)'!$C$2=2,$B10&gt;=0),OFFSET('Input data (2)'!V$126,'Input data (2)'!$BL$1-$B10,0),IF(AND('Input data (2)'!$C$2=1,$A10&gt;=0),OFFSET('Input data (2)'!V$126,'Input data (2)'!$BL$1-$A10,0),""))))</f>
        <v>22.318840579710145</v>
      </c>
      <c r="AD22" s="1">
        <f ca="1">IF(AND('Input data (2)'!$C$2=4,$D10&gt;=0),OFFSET('Input data (2)'!Q$126,'Input data (2)'!$BL$1-$D10,0),IF(AND('Input data (2)'!$C$2=3,$C10&gt;=0),OFFSET('Input data (2)'!Q$126,'Input data (2)'!$BL$1-$C10,0),IF(AND('Input data (2)'!$C$2=2,$B10&gt;=0),OFFSET('Input data (2)'!Q$126,'Input data (2)'!$BL$1-$B10,0),IF(AND('Input data (2)'!$C$2=1,$A10&gt;=0),OFFSET('Input data (2)'!Q$126,'Input data (2)'!$BL$1-$A10,0),""))))</f>
        <v>9315</v>
      </c>
      <c r="AE22" s="1">
        <f ca="1">IF(AND('Input data (2)'!$C$2=4,$D10&gt;=0),OFFSET('Input data (2)'!W$126,'Input data (2)'!$BL$1-$D10,0),IF(AND('Input data (2)'!$C$2=3,$C10&gt;=0),OFFSET('Input data (2)'!W$126,'Input data (2)'!$BL$1-$C10,0),IF(AND('Input data (2)'!$C$2=2,$B10&gt;=0),OFFSET('Input data (2)'!W$126,'Input data (2)'!$BL$1-$B10,0),IF(AND('Input data (2)'!$C$2=1,$A10&gt;=0),OFFSET('Input data (2)'!W$126,'Input data (2)'!$BL$1-$A10,0),""))))</f>
        <v>2300</v>
      </c>
      <c r="AF22" s="1">
        <f ca="1">IF(AND('Input data (2)'!$C$2=4,$D10&gt;=0),OFFSET('Input data (2)'!X$126,'Input data (2)'!$BL$1-$D10,0),IF(AND('Input data (2)'!$C$2=3,$C10&gt;=0),OFFSET('Input data (2)'!X$126,'Input data (2)'!$BL$1-$C10,0),IF(AND('Input data (2)'!$C$2=2,$B10&gt;=0),OFFSET('Input data (2)'!X$126,'Input data (2)'!$BL$1-$B10,0),IF(AND('Input data (2)'!$C$2=1,$A10&gt;=0),OFFSET('Input data (2)'!X$126,'Input data (2)'!$BL$1-$A10,0),""))))</f>
        <v>24.691358024691358</v>
      </c>
      <c r="AG22" s="1">
        <f ca="1">IF(AND('Input data (2)'!$C$2=4,$D10&gt;=0),OFFSET('Input data (2)'!Y$126,'Input data (2)'!$BL$1-$D10,0),IF(AND('Input data (2)'!$C$2=3,$C10&gt;=0),OFFSET('Input data (2)'!Y$126,'Input data (2)'!$BL$1-$C10,0),IF(AND('Input data (2)'!$C$2=2,$B10&gt;=0),OFFSET('Input data (2)'!Y$126,'Input data (2)'!$BL$1-$B10,0),IF(AND('Input data (2)'!$C$2=1,$A10&gt;=0),OFFSET('Input data (2)'!Y$126,'Input data (2)'!$BL$1-$A10,0),""))))</f>
        <v>7015</v>
      </c>
      <c r="AH22" s="1">
        <f ca="1">IF(AND('Input data (2)'!$C$2=4,$D10&gt;=0),OFFSET('Input data (2)'!Z$126,'Input data (2)'!$BL$1-$D10,0),IF(AND('Input data (2)'!$C$2=3,$C10&gt;=0),OFFSET('Input data (2)'!Z$126,'Input data (2)'!$BL$1-$C10,0),IF(AND('Input data (2)'!$C$2=2,$B10&gt;=0),OFFSET('Input data (2)'!Z$126,'Input data (2)'!$BL$1-$B10,0),IF(AND('Input data (2)'!$C$2=1,$A10&gt;=0),OFFSET('Input data (2)'!Z$126,'Input data (2)'!$BL$1-$A10,0),""))))</f>
        <v>75.308641975308646</v>
      </c>
      <c r="AI22" s="3"/>
      <c r="AJ22" s="124">
        <f ca="1">IF(AND('Input data (2)'!$C$2=4,$D10&gt;=0),OFFSET('Input data (2)'!AF$126,'Input data (2)'!$BL$1-$D10,0),IF(AND('Input data (2)'!$C$2=3,$C10&gt;=0),OFFSET('Input data (2)'!AF$126,'Input data (2)'!$BL$1-$C10,0),IF(AND('Input data (2)'!$C$2=2,$B10&gt;=0),OFFSET('Input data (2)'!AF$126,'Input data (2)'!$BL$1-$B10,0),IF(AND('Input data (2)'!$C$2=1,$A10&gt;=0),OFFSET('Input data (2)'!AF$126,'Input data (2)'!$BL$1-$A10,0),""))))</f>
        <v>2140</v>
      </c>
      <c r="AK22" s="124">
        <f ca="1">IF(AND('Input data (2)'!$C$2=4,$D10&gt;=0),OFFSET('Input data (2)'!AD$126,'Input data (2)'!$BL$1-$D10,0),IF(AND('Input data (2)'!$C$2=3,$C10&gt;=0),OFFSET('Input data (2)'!AD$126,'Input data (2)'!$BL$1-$C10,0),IF(AND('Input data (2)'!$C$2=2,$B10&gt;=0),OFFSET('Input data (2)'!AD$126,'Input data (2)'!$BL$1-$B10,0),IF(AND('Input data (2)'!$C$2=1,$A10&gt;=0),OFFSET('Input data (2)'!AD$126,'Input data (2)'!$BL$1-$A10,0),""))))</f>
        <v>90</v>
      </c>
      <c r="AL22" s="124">
        <f ca="1">IF(AND('Input data (2)'!$C$2=4,$D10&gt;=0),OFFSET('Input data (2)'!AE$126,'Input data (2)'!$BL$1-$D10,0),IF(AND('Input data (2)'!$C$2=3,$C10&gt;=0),OFFSET('Input data (2)'!AE$126,'Input data (2)'!$BL$1-$C10,0),IF(AND('Input data (2)'!$C$2=2,$B10&gt;=0),OFFSET('Input data (2)'!AE$126,'Input data (2)'!$BL$1-$B10,0),IF(AND('Input data (2)'!$C$2=1,$A10&gt;=0),OFFSET('Input data (2)'!AE$126,'Input data (2)'!$BL$1-$A10,0),""))))</f>
        <v>2050</v>
      </c>
      <c r="AW22" s="1">
        <f ca="1">IF(AND('Input data (2)'!$C$2=4,$D10&gt;=0),OFFSET('Input data (2)'!L$126,'Input data (2)'!$BL$1-$D10,0),IF(AND('Input data (2)'!$C$2=3,$C10&gt;=0),OFFSET('Input data (2)'!L$126,'Input data (2)'!$BL$1-$C10,0),IF(AND('Input data (2)'!$C$2=2,$B10&gt;=0),OFFSET('Input data (2)'!L$126,'Input data (2)'!$BL$1-$B10,0),IF(AND('Input data (2)'!$C$2=1,$A10&gt;=0),OFFSET('Input data (2)'!L$126,'Input data (2)'!$BL$1-$A10,0),""))))</f>
        <v>203</v>
      </c>
      <c r="AX22" s="1">
        <f ca="1">IF(AND('Input data (2)'!$C$2=4,$D10&gt;=0),OFFSET('Input data (2)'!M$126,'Input data (2)'!$BL$1-$D10,0),IF(AND('Input data (2)'!$C$2=3,$C10&gt;=0),OFFSET('Input data (2)'!M$126,'Input data (2)'!$BL$1-$C10,0),IF(AND('Input data (2)'!$C$2=2,$B10&gt;=0),OFFSET('Input data (2)'!M$126,'Input data (2)'!$BL$1-$B10,0),IF(AND('Input data (2)'!$C$2=1,$A10&gt;=0),OFFSET('Input data (2)'!M$126,'Input data (2)'!$BL$1-$A10,0),""))))</f>
        <v>0</v>
      </c>
      <c r="AY22" s="1">
        <f ca="1">IF(AND('Input data (2)'!$C$2=4,$D10&gt;=0),OFFSET('Input data (2)'!N$126,'Input data (2)'!$BL$1-$D10,0),IF(AND('Input data (2)'!$C$2=3,$C10&gt;=0),OFFSET('Input data (2)'!N$126,'Input data (2)'!$BL$1-$C10,0),IF(AND('Input data (2)'!$C$2=2,$B10&gt;=0),OFFSET('Input data (2)'!N$126,'Input data (2)'!$BL$1-$B10,0),IF(AND('Input data (2)'!$C$2=1,$A10&gt;=0),OFFSET('Input data (2)'!N$126,'Input data (2)'!$BL$1-$A10,0),""))))</f>
        <v>421</v>
      </c>
      <c r="AZ22" s="1">
        <f ca="1">IF(AND('Input data (2)'!$C$2=4,$D10&gt;=0),OFFSET('Input data (2)'!P$126,'Input data (2)'!$BL$1-$D10,0),IF(AND('Input data (2)'!$C$2=3,$C10&gt;=0),OFFSET('Input data (2)'!P$126,'Input data (2)'!$BL$1-$C10,0),IF(AND('Input data (2)'!$C$2=2,$B10&gt;=0),OFFSET('Input data (2)'!P$126,'Input data (2)'!$BL$1-$B10,0),IF(AND('Input data (2)'!$C$2=1,$A10&gt;=0),OFFSET('Input data (2)'!P$126,'Input data (2)'!$BL$1-$A10,0),""))))</f>
        <v>137</v>
      </c>
      <c r="BB22" s="1">
        <f ca="1">IF(AND('Input data (2)'!$C$2=4,$D10&gt;=0),OFFSET('Input data (2)'!BB$126,'Input data (2)'!$BL$1-$D10,0),IF(AND('Input data (2)'!$C$2=3,$C10&gt;=0),OFFSET('Input data (2)'!BB$126,'Input data (2)'!$BL$1-$C10,0),IF(AND('Input data (2)'!$C$2=2,$B10&gt;=0),OFFSET('Input data (2)'!BB$126,'Input data (2)'!$BL$1-$B10,0),IF(AND('Input data (2)'!$C$2=1,$A10&gt;=0),OFFSET('Input data (2)'!BB$126,'Input data (2)'!$BL$1-$A10,0),""))))</f>
        <v>2441</v>
      </c>
      <c r="BC22" s="1">
        <f ca="1">IF(AND('Input data (2)'!$C$2=4,$D10&gt;=0),OFFSET('Input data (2)'!AY$126,'Input data (2)'!$BL$1-$D10,0),IF(AND('Input data (2)'!$C$2=3,$C10&gt;=0),OFFSET('Input data (2)'!AY$126,'Input data (2)'!$BL$1-$C10,0),IF(AND('Input data (2)'!$C$2=2,$B10&gt;=0),OFFSET('Input data (2)'!AY$126,'Input data (2)'!$BL$1-$B10,0),IF(AND('Input data (2)'!$C$2=1,$A10&gt;=0),OFFSET('Input data (2)'!AY$126,'Input data (2)'!$BL$1-$A10,0),""))))</f>
        <v>923</v>
      </c>
      <c r="BD22" s="1" t="str">
        <f ca="1">IF(AND('Input data (2)'!$C$2=4,$D10&gt;=0),OFFSET('Input data (2)'!AZ$126,'Input data (2)'!$BL$1-$D10,0),IF(AND('Input data (2)'!$C$2=3,$C10&gt;=0),OFFSET('Input data (2)'!AZ$126,'Input data (2)'!$BL$1-$C10,0),IF(AND('Input data (2)'!$C$2=2,$B10&gt;=0),OFFSET('Input data (2)'!AZ$126,'Input data (2)'!$BL$1-$B10,0),IF(AND('Input data (2)'!$C$2=1,$A10&gt;=0),OFFSET('Input data (2)'!AZ$126,'Input data (2)'!$BL$1-$A10,0),""))))</f>
        <v>:</v>
      </c>
      <c r="BE22" s="1">
        <f ca="1">IF(AND('Input data (2)'!$C$2=4,$D10&gt;=0),OFFSET('Input data (2)'!BA$126,'Input data (2)'!$BL$1-$D10,0),IF(AND('Input data (2)'!$C$2=3,$C10&gt;=0),OFFSET('Input data (2)'!BA$126,'Input data (2)'!$BL$1-$C10,0),IF(AND('Input data (2)'!$C$2=2,$B10&gt;=0),OFFSET('Input data (2)'!BA$126,'Input data (2)'!$BL$1-$B10,0),IF(AND('Input data (2)'!$C$2=1,$A10&gt;=0),OFFSET('Input data (2)'!BA$126,'Input data (2)'!$BL$1-$A10,0),""))))</f>
        <v>1518</v>
      </c>
      <c r="BF22" s="1">
        <f ca="1">IF(AND('Input data (2)'!$C$2=4,$D10&gt;=0),OFFSET('Input data (2)'!AP$126,'Input data (2)'!$BL$1-$D10,0),IF(AND('Input data (2)'!$C$2=3,$C10&gt;=0),OFFSET('Input data (2)'!AP$126,'Input data (2)'!$BL$1-$C10,0),IF(AND('Input data (2)'!$C$2=2,$B10&gt;=0),OFFSET('Input data (2)'!AP$126,'Input data (2)'!$BL$1-$B10,0),IF(AND('Input data (2)'!$C$2=1,$A10&gt;=0),OFFSET('Input data (2)'!AP$126,'Input data (2)'!$BL$1-$A10,0),""))))</f>
        <v>168</v>
      </c>
      <c r="BG22" s="1">
        <f ca="1">IF(AND('Input data (2)'!$C$2=4,$D10&gt;=0),OFFSET('Input data (2)'!AN$126,'Input data (2)'!$BL$1-$D10,0),IF(AND('Input data (2)'!$C$2=3,$C10&gt;=0),OFFSET('Input data (2)'!AN$126,'Input data (2)'!$BL$1-$C10,0),IF(AND('Input data (2)'!$C$2=2,$B10&gt;=0),OFFSET('Input data (2)'!AN$126,'Input data (2)'!$BL$1-$B10,0),IF(AND('Input data (2)'!$C$2=1,$A10&gt;=0),OFFSET('Input data (2)'!AN$126,'Input data (2)'!$BL$1-$A10,0),""))))</f>
        <v>113</v>
      </c>
      <c r="BH22" s="1">
        <f ca="1">IF(AND('Input data (2)'!$C$2=4,$D10&gt;=0),OFFSET('Input data (2)'!AO$126,'Input data (2)'!$BL$1-$D10,0),IF(AND('Input data (2)'!$C$2=3,$C10&gt;=0),OFFSET('Input data (2)'!AO$126,'Input data (2)'!$BL$1-$C10,0),IF(AND('Input data (2)'!$C$2=2,$B10&gt;=0),OFFSET('Input data (2)'!AO$126,'Input data (2)'!$BL$1-$B10,0),IF(AND('Input data (2)'!$C$2=1,$A10&gt;=0),OFFSET('Input data (2)'!AO$126,'Input data (2)'!$BL$1-$A10,0),""))))</f>
        <v>55</v>
      </c>
      <c r="BJ22" s="1">
        <f ca="1">IF(AND('Input data (2)'!$C$2=4,$D10&gt;=0),OFFSET('Input data (2)'!AU$126,'Input data (2)'!$BL$1-$D10,0),IF(AND('Input data (2)'!$C$2=3,$C10&gt;=0),OFFSET('Input data (2)'!AU$126,'Input data (2)'!$BL$1-$C10,0),IF(AND('Input data (2)'!$C$2=2,$B10&gt;=0),OFFSET('Input data (2)'!AU$126,'Input data (2)'!$BL$1-$B10,0),IF(AND('Input data (2)'!$C$2=1,$A10&gt;=0),OFFSET('Input data (2)'!AU$126,'Input data (2)'!$BL$1-$A10,0),""))))</f>
        <v>13</v>
      </c>
      <c r="BK22" s="1">
        <f ca="1">IF(AND('Input data (2)'!$C$2=4,$D10&gt;=0),OFFSET('Input data (2)'!AV$126,'Input data (2)'!$BL$1-$D10,0),IF(AND('Input data (2)'!$C$2=3,$C10&gt;=0),OFFSET('Input data (2)'!AV$126,'Input data (2)'!$BL$1-$C10,0),IF(AND('Input data (2)'!$C$2=2,$B10&gt;=0),OFFSET('Input data (2)'!AV$126,'Input data (2)'!$BL$1-$B10,0),IF(AND('Input data (2)'!$C$2=1,$A10&gt;=0),OFFSET('Input data (2)'!AV$126,'Input data (2)'!$BL$1-$A10,0),""))))</f>
        <v>0</v>
      </c>
      <c r="BL22" s="1">
        <f ca="1">IF(AND('Input data (2)'!$C$2=4,$D10&gt;=0),OFFSET('Input data (2)'!AW$126,'Input data (2)'!$BL$1-$D10,0),IF(AND('Input data (2)'!$C$2=3,$C10&gt;=0),OFFSET('Input data (2)'!AW$126,'Input data (2)'!$BL$1-$C10,0),IF(AND('Input data (2)'!$C$2=2,$B10&gt;=0),OFFSET('Input data (2)'!AW$126,'Input data (2)'!$BL$1-$B10,0),IF(AND('Input data (2)'!$C$2=1,$A10&gt;=0),OFFSET('Input data (2)'!AW$126,'Input data (2)'!$BL$1-$A10,0),""))))</f>
        <v>7</v>
      </c>
      <c r="BM22" s="1">
        <f ca="1">IF(AND('Input data (2)'!$C$2=4,$D10&gt;=0),OFFSET('Input data (2)'!AX$126,'Input data (2)'!$BL$1-$D10,0),IF(AND('Input data (2)'!$C$2=3,$C10&gt;=0),OFFSET('Input data (2)'!AX$126,'Input data (2)'!$BL$1-$C10,0),IF(AND('Input data (2)'!$C$2=2,$B10&gt;=0),OFFSET('Input data (2)'!AX$126,'Input data (2)'!$BL$1-$B10,0),IF(AND('Input data (2)'!$C$2=1,$A10&gt;=0),OFFSET('Input data (2)'!AX$126,'Input data (2)'!$BL$1-$A10,0),""))))</f>
        <v>0</v>
      </c>
      <c r="BO22" s="1">
        <f ca="1">IF(AND('Input data (2)'!$C$2=4,$D10&gt;=0),OFFSET('Input data (2)'!BL$126,'Input data (2)'!$BL$1-$D10,0),IF(AND('Input data (2)'!$C$2=3,$C10&gt;=0),OFFSET('Input data (2)'!BL$126,'Input data (2)'!$BL$1-$C10,0),IF(AND('Input data (2)'!$C$2=2,$B10&gt;=0),OFFSET('Input data (2)'!BL$126,'Input data (2)'!$BL$1-$B10,0),IF(AND('Input data (2)'!$C$2=1,$A10&gt;=0),OFFSET('Input data (2)'!BL$126,'Input data (2)'!$BL$1-$A10,0),""))))</f>
        <v>286</v>
      </c>
      <c r="BP22" s="1">
        <f ca="1">IF(AND('Input data (2)'!$C$2=4,$D10&gt;=0),OFFSET('Input data (2)'!BI$126,'Input data (2)'!$BL$1-$D10,0),IF(AND('Input data (2)'!$C$2=3,$C10&gt;=0),OFFSET('Input data (2)'!BI$126,'Input data (2)'!$BL$1-$C10,0),IF(AND('Input data (2)'!$C$2=2,$B10&gt;=0),OFFSET('Input data (2)'!BI$126,'Input data (2)'!$BL$1-$B10,0),IF(AND('Input data (2)'!$C$2=1,$A10&gt;=0),OFFSET('Input data (2)'!BI$126,'Input data (2)'!$BL$1-$A10,0),""))))</f>
        <v>165</v>
      </c>
      <c r="BQ22" s="1" t="str">
        <f ca="1">IF(AND('Input data (2)'!$C$2=4,$D10&gt;=0),OFFSET('Input data (2)'!BK$126,'Input data (2)'!$BL$1-$D10,0),IF(AND('Input data (2)'!$C$2=3,$C10&gt;=0),OFFSET('Input data (2)'!BK$126,'Input data (2)'!$BL$1-$C10,0),IF(AND('Input data (2)'!$C$2=2,$B10&gt;=0),OFFSET('Input data (2)'!BK$126,'Input data (2)'!$BL$1-$B10,0),IF(AND('Input data (2)'!$C$2=1,$A10&gt;=0),OFFSET('Input data (2)'!BK$126,'Input data (2)'!$BL$1-$A10,0),""))))</f>
        <v>..</v>
      </c>
      <c r="BR22" s="1">
        <f ca="1">IF(AND('Input data (2)'!$C$2=4,$D10&gt;=0),OFFSET('Input data (2)'!BJ$126,'Input data (2)'!$BL$1-$D10,0),IF(AND('Input data (2)'!$C$2=3,$C10&gt;=0),OFFSET('Input data (2)'!BJ$126,'Input data (2)'!$BL$1-$C10,0),IF(AND('Input data (2)'!$C$2=2,$B10&gt;=0),OFFSET('Input data (2)'!BJ$126,'Input data (2)'!$BL$1-$B10,0),IF(AND('Input data (2)'!$C$2=1,$A10&gt;=0),OFFSET('Input data (2)'!BJ$126,'Input data (2)'!$BL$1-$A10,0),""))))</f>
        <v>121</v>
      </c>
      <c r="BS22" s="1">
        <f ca="1">IF(AND('Input data (2)'!$C$2=4,$D10&gt;=0),OFFSET('Input data (2)'!BF$126,'Input data (2)'!$BL$1-$D10,0),IF(AND('Input data (2)'!$C$2=3,$C10&gt;=0),OFFSET('Input data (2)'!BF$126,'Input data (2)'!$BL$1-$C10,0),IF(AND('Input data (2)'!$C$2=2,$B10&gt;=0),OFFSET('Input data (2)'!BF$126,'Input data (2)'!$BL$1-$B10,0),IF(AND('Input data (2)'!$C$2=1,$A10&gt;=0),OFFSET('Input data (2)'!BF$126,'Input data (2)'!$BL$1-$A10,0),""))))</f>
        <v>28</v>
      </c>
      <c r="BT22" s="1">
        <f ca="1">IF(AND('Input data (2)'!$C$2=4,$D10&gt;=0),OFFSET('Input data (2)'!BD$126,'Input data (2)'!$BL$1-$D10,0),IF(AND('Input data (2)'!$C$2=3,$C10&gt;=0),OFFSET('Input data (2)'!BD$126,'Input data (2)'!$BL$1-$C10,0),IF(AND('Input data (2)'!$C$2=2,$B10&gt;=0),OFFSET('Input data (2)'!BD$126,'Input data (2)'!$BL$1-$B10,0),IF(AND('Input data (2)'!$C$2=1,$A10&gt;=0),OFFSET('Input data (2)'!BD$126,'Input data (2)'!$BL$1-$A10,0),""))))</f>
        <v>20</v>
      </c>
      <c r="BU22" s="1">
        <f ca="1">IF(AND('Input data (2)'!$C$2=4,$D10&gt;=0),OFFSET('Input data (2)'!BE$126,'Input data (2)'!$BL$1-$D10,0),IF(AND('Input data (2)'!$C$2=3,$C10&gt;=0),OFFSET('Input data (2)'!BE$126,'Input data (2)'!$BL$1-$C10,0),IF(AND('Input data (2)'!$C$2=2,$B10&gt;=0),OFFSET('Input data (2)'!BE$126,'Input data (2)'!$BL$1-$B10,0),IF(AND('Input data (2)'!$C$2=1,$A10&gt;=0),OFFSET('Input data (2)'!BE$126,'Input data (2)'!$BL$1-$A10,0),""))))</f>
        <v>8</v>
      </c>
      <c r="BW22" s="7">
        <f ca="1">IF(AND('Input data (2)'!$C$2=4,$D10&gt;=0),OFFSET('Input data (2)'!J$126,'Input data (2)'!$BL$1-$D10,0),IF(AND('Input data (2)'!$C$2=3,$C10&gt;=0),OFFSET('Input data (2)'!J$126,'Input data (2)'!$BL$1-$C10,0),IF(AND('Input data (2)'!$C$2=2,$B10&gt;=0),OFFSET('Input data (2)'!J$126,'Input data (2)'!$BL$1-$B10,0),IF(AND('Input data (2)'!$C$2=1,$A10&gt;=0),OFFSET('Input data (2)'!J$126,'Input data (2)'!$BL$1-$A10,0),""))))</f>
        <v>0.72541997175737305</v>
      </c>
      <c r="BX22" s="7">
        <f ca="1">IF(AND('Input data (2)'!$C$2=4,$D10&gt;=0),OFFSET('Input data (2)'!K$126,'Input data (2)'!$BL$1-$D10,0),IF(AND('Input data (2)'!$C$2=3,$C10&gt;=0),OFFSET('Input data (2)'!K$126,'Input data (2)'!$BL$1-$C10,0),IF(AND('Input data (2)'!$C$2=2,$B10&gt;=0),OFFSET('Input data (2)'!K$126,'Input data (2)'!$BL$1-$B10,0),IF(AND('Input data (2)'!$C$2=1,$A10&gt;=0),OFFSET('Input data (2)'!K$126,'Input data (2)'!$BL$1-$A10,0),""))))</f>
        <v>0.66269387368691612</v>
      </c>
      <c r="BY22" s="7">
        <f ca="1">IF(AND('Input data (2)'!$C$2=4,$D10&gt;=0),OFFSET('Input data (2)'!AS$126,'Input data (2)'!$BL$1-$D10,0),IF(AND('Input data (2)'!$C$2=3,$C10&gt;=0),OFFSET('Input data (2)'!AS$126,'Input data (2)'!$BL$1-$C10,0),IF(AND('Input data (2)'!$C$2=2,$B10&gt;=0),OFFSET('Input data (2)'!AS$126,'Input data (2)'!$BL$1-$B10,0),IF(AND('Input data (2)'!$C$2=1,$A10&gt;=0),OFFSET('Input data (2)'!AS$126,'Input data (2)'!$BL$1-$A10,0),""))))</f>
        <v>0.59933205804249479</v>
      </c>
      <c r="BZ22" s="7">
        <f ca="1">IF(AND('Input data (2)'!$C$2=4,$D10&gt;=0),OFFSET('Input data (2)'!AT$126,'Input data (2)'!$BL$1-$D10,0),IF(AND('Input data (2)'!$C$2=3,$C10&gt;=0),OFFSET('Input data (2)'!AT$126,'Input data (2)'!$BL$1-$C10,0),IF(AND('Input data (2)'!$C$2=2,$B10&gt;=0),OFFSET('Input data (2)'!AT$126,'Input data (2)'!$BL$1-$B10,0),IF(AND('Input data (2)'!$C$2=1,$A10&gt;=0),OFFSET('Input data (2)'!AT$126,'Input data (2)'!$BL$1-$A10,0),""))))</f>
        <v>0.54975651258605873</v>
      </c>
      <c r="CB22" s="122"/>
      <c r="CC22" s="122"/>
      <c r="CD22" s="122"/>
      <c r="CE22" s="122"/>
      <c r="CG22" s="1">
        <v>22</v>
      </c>
      <c r="CI22" s="1">
        <f t="shared" ca="1" si="24"/>
        <v>2007</v>
      </c>
      <c r="CJ22" s="1" t="str">
        <f t="shared" si="25"/>
        <v>Q4</v>
      </c>
      <c r="CK22" s="1" t="str">
        <f t="shared" ca="1" si="12"/>
        <v>07</v>
      </c>
      <c r="CL22" s="1" t="str">
        <f t="shared" ca="1" si="13"/>
        <v>Q4 07</v>
      </c>
      <c r="CM22" s="1">
        <f ca="1">OFFSET('Input data (2)'!AJ$126,'Input data (2)'!$BL$1-'Output data - DO NOT TOUCH (2)'!$CG22,0)/1000</f>
        <v>15.311</v>
      </c>
      <c r="CN22" s="1">
        <f ca="1">OFFSET('Input data (2)'!AK$126,'Input data (2)'!$BL$1-'Output data - DO NOT TOUCH (2)'!$CG22,0)/1000</f>
        <v>9.1229999999999993</v>
      </c>
      <c r="CO22" s="1">
        <f ca="1">OFFSET('Input data (2)'!AL$126,'Input data (2)'!$BL$1-'Output data - DO NOT TOUCH (2)'!$CG22,0)/1000</f>
        <v>24.434000000000001</v>
      </c>
      <c r="CP22" s="1"/>
      <c r="CQ22" s="1">
        <f ca="1">OFFSET('Input data (2)'!AG$126,'Input data (2)'!$BL$1-'Output data - DO NOT TOUCH (2)'!$CG22,0)/1000</f>
        <v>1.135</v>
      </c>
      <c r="CR22" s="1">
        <f ca="1">OFFSET('Input data (2)'!AH$126,'Input data (2)'!$BL$1-'Output data - DO NOT TOUCH (2)'!$CG22,0)/1000</f>
        <v>1.847</v>
      </c>
      <c r="CS22" s="1">
        <f ca="1">OFFSET('Input data (2)'!AI$126,'Input data (2)'!$BL$1-'Output data - DO NOT TOUCH (2)'!$CG22,0)/1000</f>
        <v>2.9820000000000002</v>
      </c>
      <c r="CT22" s="1"/>
      <c r="CU22" s="1">
        <f ca="1">OFFSET('Input data (2)'!L$126,'Input data (2)'!$BL$1-'Output data - DO NOT TOUCH (2)'!$CG22,0)</f>
        <v>92</v>
      </c>
      <c r="CV22" s="1">
        <f ca="1">OFFSET('Input data (2)'!M$126,'Input data (2)'!$BL$1-'Output data - DO NOT TOUCH (2)'!$CG22,0)</f>
        <v>0</v>
      </c>
      <c r="CW22" s="67">
        <f ca="1">OFFSET('Input data (2)'!N$126,'Input data (2)'!$BL$1-'Output data - DO NOT TOUCH (2)'!$CG22,0)</f>
        <v>575</v>
      </c>
      <c r="CX22" s="1">
        <f ca="1">OFFSET('Input data (2)'!P$126,'Input data (2)'!$BL$1-'Output data - DO NOT TOUCH (2)'!$CG22,0)</f>
        <v>91</v>
      </c>
      <c r="CY22" s="1"/>
      <c r="CZ22" s="1">
        <f ca="1">OFFSET('Input data (2)'!AY$126,'Input data (2)'!$BL$1-'Output data - DO NOT TOUCH (2)'!$CG22,0)/1000</f>
        <v>1.5629999999999999</v>
      </c>
      <c r="DA22" s="1">
        <f ca="1">OFFSET('Input data (2)'!BA$126,'Input data (2)'!$BL$1-'Output data - DO NOT TOUCH (2)'!$CG22,0)/1000</f>
        <v>1.7549999999999999</v>
      </c>
      <c r="DB22" s="1">
        <f ca="1">OFFSET('Input data (2)'!BB$126,'Input data (2)'!$BL$1-'Output data - DO NOT TOUCH (2)'!$CG22,0)/1000</f>
        <v>3.3180000000000001</v>
      </c>
      <c r="DD22" s="1">
        <f ca="1">OFFSET('Input data (2)'!AN$126,'Input data (2)'!$BL$1-'Output data - DO NOT TOUCH (2)'!$CG22,0)</f>
        <v>71</v>
      </c>
      <c r="DE22" s="1">
        <f ca="1">OFFSET('Input data (2)'!AO$126,'Input data (2)'!$BL$1-'Output data - DO NOT TOUCH (2)'!$CG22,0)</f>
        <v>12</v>
      </c>
      <c r="DF22" s="1">
        <f ca="1">OFFSET('Input data (2)'!AP$126,'Input data (2)'!$BL$1-'Output data - DO NOT TOUCH (2)'!$CG22,0)</f>
        <v>83</v>
      </c>
      <c r="DG22" s="1"/>
      <c r="DH22" s="1">
        <f ca="1">OFFSET('Input data (2)'!AU$126,'Input data (2)'!$BL$1-'Output data - DO NOT TOUCH (2)'!$CG22,0)</f>
        <v>36</v>
      </c>
      <c r="DI22" s="1">
        <f ca="1">OFFSET('Input data (2)'!AV$126,'Input data (2)'!$BL$1-'Output data - DO NOT TOUCH (2)'!$CG22,0)</f>
        <v>0</v>
      </c>
      <c r="DJ22" s="1">
        <f ca="1">OFFSET('Input data (2)'!AW$126,'Input data (2)'!$BL$1-'Output data - DO NOT TOUCH (2)'!$CG22,0)</f>
        <v>5</v>
      </c>
      <c r="DK22" s="1">
        <f ca="1">OFFSET('Input data (2)'!AX$126,'Input data (2)'!$BL$1-'Output data - DO NOT TOUCH (2)'!$CG22,0)</f>
        <v>1</v>
      </c>
      <c r="DM22" s="1">
        <f ca="1">OFFSET('Input data (2)'!BI$126,'Input data (2)'!$BL$1-'Output data - DO NOT TOUCH (2)'!$CG22,0)</f>
        <v>225</v>
      </c>
      <c r="DN22" s="1">
        <f ca="1">OFFSET('Input data (2)'!BJ$126,'Input data (2)'!$BL$1-'Output data - DO NOT TOUCH (2)'!$CG22,0)</f>
        <v>94</v>
      </c>
      <c r="DO22" s="1">
        <f ca="1">OFFSET('Input data (2)'!BL$126,'Input data (2)'!$BL$1-'Output data - DO NOT TOUCH (2)'!$CG22,0)</f>
        <v>319</v>
      </c>
      <c r="DQ22" s="1">
        <f ca="1">OFFSET('Input data (2)'!BD$126,'Input data (2)'!$BL$1-'Output data - DO NOT TOUCH (2)'!$CG22,0)</f>
        <v>36</v>
      </c>
      <c r="DR22" s="1">
        <f ca="1">OFFSET('Input data (2)'!BE$126,'Input data (2)'!$BL$1-'Output data - DO NOT TOUCH (2)'!$CG22,0)</f>
        <v>12</v>
      </c>
      <c r="DS22" s="1">
        <f ca="1">OFFSET('Input data (2)'!BF$126,'Input data (2)'!$BL$1-'Output data - DO NOT TOUCH (2)'!$CG22,0)</f>
        <v>48</v>
      </c>
      <c r="DU22" s="1">
        <f ca="1">OFFSET('Input data (2)'!B$126,'Input data (2)'!$BL$1-'Output data - DO NOT TOUCH (2)'!$CG22-1,0)</f>
        <v>2007</v>
      </c>
      <c r="DV22" s="1" t="str">
        <f ca="1">OFFSET('Input data (2)'!C$126,'Input data (2)'!$BL$1-'Output data - DO NOT TOUCH (2)'!$CG22-1,0)</f>
        <v>Q3</v>
      </c>
      <c r="DW22" s="1" t="str">
        <f t="shared" ca="1" si="14"/>
        <v>07</v>
      </c>
      <c r="DX22" s="1" t="str">
        <f t="shared" ca="1" si="15"/>
        <v>Q3 07</v>
      </c>
      <c r="DY22" s="1">
        <f ca="1">OFFSET('Input data (2)'!W$126,'Input data (2)'!$BL$1-'Output data - DO NOT TOUCH (2)'!$CG22-1,0)/1000</f>
        <v>1.66</v>
      </c>
      <c r="DZ22" s="1">
        <f ca="1">OFFSET('Input data (2)'!Y$126,'Input data (2)'!$BL$1-'Output data - DO NOT TOUCH (2)'!$CG22-1,0)/1000</f>
        <v>13.94</v>
      </c>
      <c r="EA22" s="1">
        <f ca="1">OFFSET('Input data (2)'!Q$126,'Input data (2)'!$BL$1-'Output data - DO NOT TOUCH (2)'!$CG22-1,0)/1000</f>
        <v>15.6</v>
      </c>
      <c r="EC22" s="3" t="str">
        <f t="shared" ca="1" si="26"/>
        <v>Q1 13</v>
      </c>
      <c r="ED22" s="68" t="e">
        <f t="shared" ca="1" si="27"/>
        <v>#VALUE!</v>
      </c>
      <c r="EE22" s="68" t="e">
        <f t="shared" ca="1" si="28"/>
        <v>#VALUE!</v>
      </c>
      <c r="EF22" s="68" t="e">
        <f t="shared" ca="1" si="29"/>
        <v>#VALUE!</v>
      </c>
      <c r="EH22" s="68">
        <f t="shared" ca="1" si="30"/>
        <v>-4.0764721762892684</v>
      </c>
      <c r="EI22" s="68">
        <f t="shared" ca="1" si="31"/>
        <v>-12.114976925711199</v>
      </c>
      <c r="EJ22" s="68">
        <f t="shared" ca="1" si="32"/>
        <v>-16.191449102000469</v>
      </c>
    </row>
    <row r="23" spans="1:140" x14ac:dyDescent="0.15">
      <c r="A23" s="1">
        <v>21</v>
      </c>
      <c r="B23" s="1">
        <v>22</v>
      </c>
      <c r="C23" s="1">
        <v>23</v>
      </c>
      <c r="D23" s="1">
        <v>20</v>
      </c>
      <c r="E23" s="1" t="str">
        <f>F23&amp;G23</f>
        <v>2004Q4</v>
      </c>
      <c r="F23" s="1">
        <f>F18+1</f>
        <v>2004</v>
      </c>
      <c r="G23" s="1" t="s">
        <v>4</v>
      </c>
      <c r="H23" s="1">
        <f>VLOOKUP($E23,'Input data (2)'!$A:$BL,'Output data - DO NOT TOUCH (2)'!H$71,FALSE)</f>
        <v>2936</v>
      </c>
      <c r="I23" s="1">
        <f>VLOOKUP($E23,'Input data (2)'!$A:$BL,'Output data - DO NOT TOUCH (2)'!I$71,FALSE)</f>
        <v>1118</v>
      </c>
      <c r="J23" s="1">
        <f>VLOOKUP($E23,'Input data (2)'!$A:$BL,'Output data - DO NOT TOUCH (2)'!J$71,FALSE)</f>
        <v>1818</v>
      </c>
      <c r="K23" s="1">
        <f>VLOOKUP($E23,'Input data (2)'!$A:$BL,'Output data - DO NOT TOUCH (2)'!K$71,FALSE)</f>
        <v>2972</v>
      </c>
      <c r="L23" s="1">
        <f>VLOOKUP($E23,'Input data (2)'!$A:$BL,'Output data - DO NOT TOUCH (2)'!L$71,FALSE)</f>
        <v>1118</v>
      </c>
      <c r="M23" s="1">
        <f>VLOOKUP($E23,'Input data (2)'!$A:$BL,'Output data - DO NOT TOUCH (2)'!M$71,FALSE)</f>
        <v>1854</v>
      </c>
      <c r="O23" s="119">
        <f ca="1">IF(AND('Input data (2)'!$C$2=4,$D11&gt;=0),OFFSET('Input data (2)'!O$126,'Input data (2)'!$BL$1-$D11,0),IF(AND('Input data (2)'!$C$2=3,$C11&gt;=0),OFFSET('Input data (2)'!O$126,'Input data (2)'!$BL$1-$C11,0),IF(AND('Input data (2)'!$C$2=2,$B11&gt;=0),OFFSET('Input data (2)'!O$126,'Input data (2)'!$BL$1-$B11,0),IF(AND('Input data (2)'!$C$2=1,$A11&gt;=0),OFFSET('Input data (2)'!O$126,'Input data (2)'!$BL$1-$A11,0),""))))</f>
        <v>99</v>
      </c>
      <c r="Q23" s="1">
        <f ca="1">IF(AND('Input data (2)'!$C$2=4,$D11&gt;=0),OFFSET('Input data (2)'!AC$126,'Input data (2)'!$BL$1-$D11,0),IF(AND('Input data (2)'!$C$2=3,$C11&gt;=0),OFFSET('Input data (2)'!AC$126,'Input data (2)'!$BL$1-$C11,0),IF(AND('Input data (2)'!$C$2=2,$B11&gt;=0),OFFSET('Input data (2)'!AC$126,'Input data (2)'!$BL$1-$B11,0),IF(AND('Input data (2)'!$C$2=1,$A11&gt;=0),OFFSET('Input data (2)'!AC$126,'Input data (2)'!$BL$1-$A11,0),""))))</f>
        <v>12223</v>
      </c>
      <c r="R23" s="1">
        <f ca="1">IF(AND('Input data (2)'!$C$2=4,$D11&gt;=0),OFFSET('Input data (2)'!Q$126,'Input data (2)'!$BL$1-$D11,0),IF(AND('Input data (2)'!$C$2=3,$C11&gt;=0),OFFSET('Input data (2)'!Q$126,'Input data (2)'!$BL$1-$C11,0),IF(AND('Input data (2)'!$C$2=2,$B11&gt;=0),OFFSET('Input data (2)'!Q$126,'Input data (2)'!$BL$1-$B11,0),IF(AND('Input data (2)'!$C$2=1,$A11&gt;=0),OFFSET('Input data (2)'!Q$126,'Input data (2)'!$BL$1-$A11,0),""))))</f>
        <v>8999</v>
      </c>
      <c r="S23" s="1" t="str">
        <f ca="1">IF(AND('Input data (2)'!$C$2=4,$D11&gt;=0),OFFSET('Input data (2)'!R$126,'Input data (2)'!$BL$1-$D11,0),IF(AND('Input data (2)'!$C$2=3,$C11&gt;=0),OFFSET('Input data (2)'!R$126,'Input data (2)'!$BL$1-$C11,0),IF(AND('Input data (2)'!$C$2=2,$B11&gt;=0),OFFSET('Input data (2)'!R$126,'Input data (2)'!$BL$1-$B11,0),IF(AND('Input data (2)'!$C$2=1,$A11&gt;=0),OFFSET('Input data (2)'!R$126,'Input data (2)'!$BL$1-$A11,0),""))))</f>
        <v>:</v>
      </c>
      <c r="T23" s="1">
        <f ca="1">IF(AND('Input data (2)'!$C$2=4,$D11&gt;=0),OFFSET('Input data (2)'!AA$126,'Input data (2)'!$BL$1-$D11,0),IF(AND('Input data (2)'!$C$2=3,$C11&gt;=0),OFFSET('Input data (2)'!AA$126,'Input data (2)'!$BL$1-$C11,0),IF(AND('Input data (2)'!$C$2=2,$B11&gt;=0),OFFSET('Input data (2)'!AA$126,'Input data (2)'!$BL$1-$B11,0),IF(AND('Input data (2)'!$C$2=1,$A11&gt;=0),OFFSET('Input data (2)'!AA$126,'Input data (2)'!$BL$1-$A11,0),""))))</f>
        <v>3224</v>
      </c>
      <c r="U23" s="1">
        <f ca="1">IF(AND('Input data (2)'!$C$2=4,$D11&gt;=0),OFFSET('Input data (2)'!AL$126,'Input data (2)'!$BL$1-$D11,0),IF(AND('Input data (2)'!$C$2=3,$C11&gt;=0),OFFSET('Input data (2)'!AL$126,'Input data (2)'!$BL$1-$C11,0),IF(AND('Input data (2)'!$C$2=2,$B11&gt;=0),OFFSET('Input data (2)'!AL$126,'Input data (2)'!$BL$1-$B11,0),IF(AND('Input data (2)'!$C$2=1,$A11&gt;=0),OFFSET('Input data (2)'!AL$126,'Input data (2)'!$BL$1-$A11,0),""))))</f>
        <v>12885</v>
      </c>
      <c r="V23" s="1">
        <f ca="1">IF(AND('Input data (2)'!$C$2=4,$D11&gt;=0),OFFSET('Input data (2)'!AJ$126,'Input data (2)'!$BL$1-$D11,0),IF(AND('Input data (2)'!$C$2=3,$C11&gt;=0),OFFSET('Input data (2)'!AJ$126,'Input data (2)'!$BL$1-$C11,0),IF(AND('Input data (2)'!$C$2=2,$B11&gt;=0),OFFSET('Input data (2)'!AJ$126,'Input data (2)'!$BL$1-$B11,0),IF(AND('Input data (2)'!$C$2=1,$A11&gt;=0),OFFSET('Input data (2)'!AJ$126,'Input data (2)'!$BL$1-$A11,0),""))))</f>
        <v>9693</v>
      </c>
      <c r="W23" s="1">
        <f ca="1">IF(AND('Input data (2)'!$C$2=4,$D11&gt;=0),OFFSET('Input data (2)'!AK$126,'Input data (2)'!$BL$1-$D11,0),IF(AND('Input data (2)'!$C$2=3,$C11&gt;=0),OFFSET('Input data (2)'!AK$126,'Input data (2)'!$BL$1-$C11,0),IF(AND('Input data (2)'!$C$2=2,$B11&gt;=0),OFFSET('Input data (2)'!AK$126,'Input data (2)'!$BL$1-$B11,0),IF(AND('Input data (2)'!$C$2=1,$A11&gt;=0),OFFSET('Input data (2)'!AK$126,'Input data (2)'!$BL$1-$A11,0),""))))</f>
        <v>3192</v>
      </c>
      <c r="Y23" s="1">
        <f ca="1">IF(AND('Input data (2)'!$C$2=4,$D11&gt;=0),OFFSET('Input data (2)'!Q$126,'Input data (2)'!$BL$1-$D11,0),IF(AND('Input data (2)'!$C$2=3,$C11&gt;=0),OFFSET('Input data (2)'!Q$126,'Input data (2)'!$BL$1-$C11,0),IF(AND('Input data (2)'!$C$2=2,$B11&gt;=0),OFFSET('Input data (2)'!Q$126,'Input data (2)'!$BL$1-$B11,0),IF(AND('Input data (2)'!$C$2=1,$A11&gt;=0),OFFSET('Input data (2)'!Q$126,'Input data (2)'!$BL$1-$A11,0),""))))</f>
        <v>8999</v>
      </c>
      <c r="Z23" s="1">
        <f ca="1">IF(AND('Input data (2)'!$C$2=4,$D11&gt;=0),OFFSET('Input data (2)'!S$126,'Input data (2)'!$BL$1-$D11,0),IF(AND('Input data (2)'!$C$2=3,$C11&gt;=0),OFFSET('Input data (2)'!S$126,'Input data (2)'!$BL$1-$C11,0),IF(AND('Input data (2)'!$C$2=2,$B11&gt;=0),OFFSET('Input data (2)'!S$126,'Input data (2)'!$BL$1-$B11,0),IF(AND('Input data (2)'!$C$2=1,$A11&gt;=0),OFFSET('Input data (2)'!S$126,'Input data (2)'!$BL$1-$A11,0),""))))</f>
        <v>7136</v>
      </c>
      <c r="AA23" s="1">
        <f ca="1">IF(AND('Input data (2)'!$C$2=4,$D11&gt;=0),OFFSET('Input data (2)'!T$126,'Input data (2)'!$BL$1-$D11,0),IF(AND('Input data (2)'!$C$2=3,$C11&gt;=0),OFFSET('Input data (2)'!T$126,'Input data (2)'!$BL$1-$C11,0),IF(AND('Input data (2)'!$C$2=2,$B11&gt;=0),OFFSET('Input data (2)'!T$126,'Input data (2)'!$BL$1-$B11,0),IF(AND('Input data (2)'!$C$2=1,$A11&gt;=0),OFFSET('Input data (2)'!T$126,'Input data (2)'!$BL$1-$A11,0),""))))</f>
        <v>79.29769974441605</v>
      </c>
      <c r="AB23" s="1">
        <f ca="1">IF(AND('Input data (2)'!$C$2=4,$D11&gt;=0),OFFSET('Input data (2)'!U$126,'Input data (2)'!$BL$1-$D11,0),IF(AND('Input data (2)'!$C$2=3,$C11&gt;=0),OFFSET('Input data (2)'!U$126,'Input data (2)'!$BL$1-$C11,0),IF(AND('Input data (2)'!$C$2=2,$B11&gt;=0),OFFSET('Input data (2)'!U$126,'Input data (2)'!$BL$1-$B11,0),IF(AND('Input data (2)'!$C$2=1,$A11&gt;=0),OFFSET('Input data (2)'!U$126,'Input data (2)'!$BL$1-$A11,0),""))))</f>
        <v>1863</v>
      </c>
      <c r="AC23" s="1">
        <f ca="1">IF(AND('Input data (2)'!$C$2=4,$D11&gt;=0),OFFSET('Input data (2)'!V$126,'Input data (2)'!$BL$1-$D11,0),IF(AND('Input data (2)'!$C$2=3,$C11&gt;=0),OFFSET('Input data (2)'!V$126,'Input data (2)'!$BL$1-$C11,0),IF(AND('Input data (2)'!$C$2=2,$B11&gt;=0),OFFSET('Input data (2)'!V$126,'Input data (2)'!$BL$1-$B11,0),IF(AND('Input data (2)'!$C$2=1,$A11&gt;=0),OFFSET('Input data (2)'!V$126,'Input data (2)'!$BL$1-$A11,0),""))))</f>
        <v>20.702300255583953</v>
      </c>
      <c r="AD23" s="1">
        <f ca="1">IF(AND('Input data (2)'!$C$2=4,$D11&gt;=0),OFFSET('Input data (2)'!Q$126,'Input data (2)'!$BL$1-$D11,0),IF(AND('Input data (2)'!$C$2=3,$C11&gt;=0),OFFSET('Input data (2)'!Q$126,'Input data (2)'!$BL$1-$C11,0),IF(AND('Input data (2)'!$C$2=2,$B11&gt;=0),OFFSET('Input data (2)'!Q$126,'Input data (2)'!$BL$1-$B11,0),IF(AND('Input data (2)'!$C$2=1,$A11&gt;=0),OFFSET('Input data (2)'!Q$126,'Input data (2)'!$BL$1-$A11,0),""))))</f>
        <v>8999</v>
      </c>
      <c r="AE23" s="1">
        <f ca="1">IF(AND('Input data (2)'!$C$2=4,$D11&gt;=0),OFFSET('Input data (2)'!W$126,'Input data (2)'!$BL$1-$D11,0),IF(AND('Input data (2)'!$C$2=3,$C11&gt;=0),OFFSET('Input data (2)'!W$126,'Input data (2)'!$BL$1-$C11,0),IF(AND('Input data (2)'!$C$2=2,$B11&gt;=0),OFFSET('Input data (2)'!W$126,'Input data (2)'!$BL$1-$B11,0),IF(AND('Input data (2)'!$C$2=1,$A11&gt;=0),OFFSET('Input data (2)'!W$126,'Input data (2)'!$BL$1-$A11,0),""))))</f>
        <v>2372</v>
      </c>
      <c r="AF23" s="1">
        <f ca="1">IF(AND('Input data (2)'!$C$2=4,$D11&gt;=0),OFFSET('Input data (2)'!X$126,'Input data (2)'!$BL$1-$D11,0),IF(AND('Input data (2)'!$C$2=3,$C11&gt;=0),OFFSET('Input data (2)'!X$126,'Input data (2)'!$BL$1-$C11,0),IF(AND('Input data (2)'!$C$2=2,$B11&gt;=0),OFFSET('Input data (2)'!X$126,'Input data (2)'!$BL$1-$B11,0),IF(AND('Input data (2)'!$C$2=1,$A11&gt;=0),OFFSET('Input data (2)'!X$126,'Input data (2)'!$BL$1-$A11,0),""))))</f>
        <v>26.358484276030669</v>
      </c>
      <c r="AG23" s="1">
        <f ca="1">IF(AND('Input data (2)'!$C$2=4,$D11&gt;=0),OFFSET('Input data (2)'!Y$126,'Input data (2)'!$BL$1-$D11,0),IF(AND('Input data (2)'!$C$2=3,$C11&gt;=0),OFFSET('Input data (2)'!Y$126,'Input data (2)'!$BL$1-$C11,0),IF(AND('Input data (2)'!$C$2=2,$B11&gt;=0),OFFSET('Input data (2)'!Y$126,'Input data (2)'!$BL$1-$B11,0),IF(AND('Input data (2)'!$C$2=1,$A11&gt;=0),OFFSET('Input data (2)'!Y$126,'Input data (2)'!$BL$1-$A11,0),""))))</f>
        <v>6627</v>
      </c>
      <c r="AH23" s="1">
        <f ca="1">IF(AND('Input data (2)'!$C$2=4,$D11&gt;=0),OFFSET('Input data (2)'!Z$126,'Input data (2)'!$BL$1-$D11,0),IF(AND('Input data (2)'!$C$2=3,$C11&gt;=0),OFFSET('Input data (2)'!Z$126,'Input data (2)'!$BL$1-$C11,0),IF(AND('Input data (2)'!$C$2=2,$B11&gt;=0),OFFSET('Input data (2)'!Z$126,'Input data (2)'!$BL$1-$B11,0),IF(AND('Input data (2)'!$C$2=1,$A11&gt;=0),OFFSET('Input data (2)'!Z$126,'Input data (2)'!$BL$1-$A11,0),""))))</f>
        <v>73.641515723969334</v>
      </c>
      <c r="AI23" s="3"/>
      <c r="AJ23" s="124">
        <f ca="1">IF(AND('Input data (2)'!$C$2=4,$D11&gt;=0),OFFSET('Input data (2)'!AF$126,'Input data (2)'!$BL$1-$D11,0),IF(AND('Input data (2)'!$C$2=3,$C11&gt;=0),OFFSET('Input data (2)'!AF$126,'Input data (2)'!$BL$1-$C11,0),IF(AND('Input data (2)'!$C$2=2,$B11&gt;=0),OFFSET('Input data (2)'!AF$126,'Input data (2)'!$BL$1-$B11,0),IF(AND('Input data (2)'!$C$2=1,$A11&gt;=0),OFFSET('Input data (2)'!AF$126,'Input data (2)'!$BL$1-$A11,0),""))))</f>
        <v>2058</v>
      </c>
      <c r="AK23" s="124">
        <f ca="1">IF(AND('Input data (2)'!$C$2=4,$D11&gt;=0),OFFSET('Input data (2)'!AD$126,'Input data (2)'!$BL$1-$D11,0),IF(AND('Input data (2)'!$C$2=3,$C11&gt;=0),OFFSET('Input data (2)'!AD$126,'Input data (2)'!$BL$1-$C11,0),IF(AND('Input data (2)'!$C$2=2,$B11&gt;=0),OFFSET('Input data (2)'!AD$126,'Input data (2)'!$BL$1-$B11,0),IF(AND('Input data (2)'!$C$2=1,$A11&gt;=0),OFFSET('Input data (2)'!AD$126,'Input data (2)'!$BL$1-$A11,0),""))))</f>
        <v>26</v>
      </c>
      <c r="AL23" s="124">
        <f ca="1">IF(AND('Input data (2)'!$C$2=4,$D11&gt;=0),OFFSET('Input data (2)'!AE$126,'Input data (2)'!$BL$1-$D11,0),IF(AND('Input data (2)'!$C$2=3,$C11&gt;=0),OFFSET('Input data (2)'!AE$126,'Input data (2)'!$BL$1-$C11,0),IF(AND('Input data (2)'!$C$2=2,$B11&gt;=0),OFFSET('Input data (2)'!AE$126,'Input data (2)'!$BL$1-$B11,0),IF(AND('Input data (2)'!$C$2=1,$A11&gt;=0),OFFSET('Input data (2)'!AE$126,'Input data (2)'!$BL$1-$A11,0),""))))</f>
        <v>2032</v>
      </c>
      <c r="AW23" s="1">
        <f ca="1">IF(AND('Input data (2)'!$C$2=4,$D11&gt;=0),OFFSET('Input data (2)'!L$126,'Input data (2)'!$BL$1-$D11,0),IF(AND('Input data (2)'!$C$2=3,$C11&gt;=0),OFFSET('Input data (2)'!L$126,'Input data (2)'!$BL$1-$C11,0),IF(AND('Input data (2)'!$C$2=2,$B11&gt;=0),OFFSET('Input data (2)'!L$126,'Input data (2)'!$BL$1-$B11,0),IF(AND('Input data (2)'!$C$2=1,$A11&gt;=0),OFFSET('Input data (2)'!L$126,'Input data (2)'!$BL$1-$A11,0),""))))</f>
        <v>238</v>
      </c>
      <c r="AX23" s="1">
        <f ca="1">IF(AND('Input data (2)'!$C$2=4,$D11&gt;=0),OFFSET('Input data (2)'!M$126,'Input data (2)'!$BL$1-$D11,0),IF(AND('Input data (2)'!$C$2=3,$C11&gt;=0),OFFSET('Input data (2)'!M$126,'Input data (2)'!$BL$1-$C11,0),IF(AND('Input data (2)'!$C$2=2,$B11&gt;=0),OFFSET('Input data (2)'!M$126,'Input data (2)'!$BL$1-$B11,0),IF(AND('Input data (2)'!$C$2=1,$A11&gt;=0),OFFSET('Input data (2)'!M$126,'Input data (2)'!$BL$1-$A11,0),""))))</f>
        <v>0</v>
      </c>
      <c r="AY23" s="1">
        <f ca="1">IF(AND('Input data (2)'!$C$2=4,$D11&gt;=0),OFFSET('Input data (2)'!N$126,'Input data (2)'!$BL$1-$D11,0),IF(AND('Input data (2)'!$C$2=3,$C11&gt;=0),OFFSET('Input data (2)'!N$126,'Input data (2)'!$BL$1-$C11,0),IF(AND('Input data (2)'!$C$2=2,$B11&gt;=0),OFFSET('Input data (2)'!N$126,'Input data (2)'!$BL$1-$B11,0),IF(AND('Input data (2)'!$C$2=1,$A11&gt;=0),OFFSET('Input data (2)'!N$126,'Input data (2)'!$BL$1-$A11,0),""))))</f>
        <v>457</v>
      </c>
      <c r="AZ23" s="1">
        <f ca="1">IF(AND('Input data (2)'!$C$2=4,$D11&gt;=0),OFFSET('Input data (2)'!P$126,'Input data (2)'!$BL$1-$D11,0),IF(AND('Input data (2)'!$C$2=3,$C11&gt;=0),OFFSET('Input data (2)'!P$126,'Input data (2)'!$BL$1-$C11,0),IF(AND('Input data (2)'!$C$2=2,$B11&gt;=0),OFFSET('Input data (2)'!P$126,'Input data (2)'!$BL$1-$B11,0),IF(AND('Input data (2)'!$C$2=1,$A11&gt;=0),OFFSET('Input data (2)'!P$126,'Input data (2)'!$BL$1-$A11,0),""))))</f>
        <v>130</v>
      </c>
      <c r="BB23" s="1">
        <f ca="1">IF(AND('Input data (2)'!$C$2=4,$D11&gt;=0),OFFSET('Input data (2)'!BB$126,'Input data (2)'!$BL$1-$D11,0),IF(AND('Input data (2)'!$C$2=3,$C11&gt;=0),OFFSET('Input data (2)'!BB$126,'Input data (2)'!$BL$1-$C11,0),IF(AND('Input data (2)'!$C$2=2,$B11&gt;=0),OFFSET('Input data (2)'!BB$126,'Input data (2)'!$BL$1-$B11,0),IF(AND('Input data (2)'!$C$2=1,$A11&gt;=0),OFFSET('Input data (2)'!BB$126,'Input data (2)'!$BL$1-$A11,0),""))))</f>
        <v>2566</v>
      </c>
      <c r="BC23" s="1">
        <f ca="1">IF(AND('Input data (2)'!$C$2=4,$D11&gt;=0),OFFSET('Input data (2)'!AY$126,'Input data (2)'!$BL$1-$D11,0),IF(AND('Input data (2)'!$C$2=3,$C11&gt;=0),OFFSET('Input data (2)'!AY$126,'Input data (2)'!$BL$1-$C11,0),IF(AND('Input data (2)'!$C$2=2,$B11&gt;=0),OFFSET('Input data (2)'!AY$126,'Input data (2)'!$BL$1-$B11,0),IF(AND('Input data (2)'!$C$2=1,$A11&gt;=0),OFFSET('Input data (2)'!AY$126,'Input data (2)'!$BL$1-$A11,0),""))))</f>
        <v>803</v>
      </c>
      <c r="BD23" s="1" t="str">
        <f ca="1">IF(AND('Input data (2)'!$C$2=4,$D11&gt;=0),OFFSET('Input data (2)'!AZ$126,'Input data (2)'!$BL$1-$D11,0),IF(AND('Input data (2)'!$C$2=3,$C11&gt;=0),OFFSET('Input data (2)'!AZ$126,'Input data (2)'!$BL$1-$C11,0),IF(AND('Input data (2)'!$C$2=2,$B11&gt;=0),OFFSET('Input data (2)'!AZ$126,'Input data (2)'!$BL$1-$B11,0),IF(AND('Input data (2)'!$C$2=1,$A11&gt;=0),OFFSET('Input data (2)'!AZ$126,'Input data (2)'!$BL$1-$A11,0),""))))</f>
        <v>:</v>
      </c>
      <c r="BE23" s="1">
        <f ca="1">IF(AND('Input data (2)'!$C$2=4,$D11&gt;=0),OFFSET('Input data (2)'!BA$126,'Input data (2)'!$BL$1-$D11,0),IF(AND('Input data (2)'!$C$2=3,$C11&gt;=0),OFFSET('Input data (2)'!BA$126,'Input data (2)'!$BL$1-$C11,0),IF(AND('Input data (2)'!$C$2=2,$B11&gt;=0),OFFSET('Input data (2)'!BA$126,'Input data (2)'!$BL$1-$B11,0),IF(AND('Input data (2)'!$C$2=1,$A11&gt;=0),OFFSET('Input data (2)'!BA$126,'Input data (2)'!$BL$1-$A11,0),""))))</f>
        <v>1763</v>
      </c>
      <c r="BF23" s="1">
        <f ca="1">IF(AND('Input data (2)'!$C$2=4,$D11&gt;=0),OFFSET('Input data (2)'!AP$126,'Input data (2)'!$BL$1-$D11,0),IF(AND('Input data (2)'!$C$2=3,$C11&gt;=0),OFFSET('Input data (2)'!AP$126,'Input data (2)'!$BL$1-$C11,0),IF(AND('Input data (2)'!$C$2=2,$B11&gt;=0),OFFSET('Input data (2)'!AP$126,'Input data (2)'!$BL$1-$B11,0),IF(AND('Input data (2)'!$C$2=1,$A11&gt;=0),OFFSET('Input data (2)'!AP$126,'Input data (2)'!$BL$1-$A11,0),""))))</f>
        <v>153</v>
      </c>
      <c r="BG23" s="1">
        <f ca="1">IF(AND('Input data (2)'!$C$2=4,$D11&gt;=0),OFFSET('Input data (2)'!AN$126,'Input data (2)'!$BL$1-$D11,0),IF(AND('Input data (2)'!$C$2=3,$C11&gt;=0),OFFSET('Input data (2)'!AN$126,'Input data (2)'!$BL$1-$C11,0),IF(AND('Input data (2)'!$C$2=2,$B11&gt;=0),OFFSET('Input data (2)'!AN$126,'Input data (2)'!$BL$1-$B11,0),IF(AND('Input data (2)'!$C$2=1,$A11&gt;=0),OFFSET('Input data (2)'!AN$126,'Input data (2)'!$BL$1-$A11,0),""))))</f>
        <v>113</v>
      </c>
      <c r="BH23" s="1">
        <f ca="1">IF(AND('Input data (2)'!$C$2=4,$D11&gt;=0),OFFSET('Input data (2)'!AO$126,'Input data (2)'!$BL$1-$D11,0),IF(AND('Input data (2)'!$C$2=3,$C11&gt;=0),OFFSET('Input data (2)'!AO$126,'Input data (2)'!$BL$1-$C11,0),IF(AND('Input data (2)'!$C$2=2,$B11&gt;=0),OFFSET('Input data (2)'!AO$126,'Input data (2)'!$BL$1-$B11,0),IF(AND('Input data (2)'!$C$2=1,$A11&gt;=0),OFFSET('Input data (2)'!AO$126,'Input data (2)'!$BL$1-$A11,0),""))))</f>
        <v>40</v>
      </c>
      <c r="BJ23" s="1">
        <f ca="1">IF(AND('Input data (2)'!$C$2=4,$D11&gt;=0),OFFSET('Input data (2)'!AU$126,'Input data (2)'!$BL$1-$D11,0),IF(AND('Input data (2)'!$C$2=3,$C11&gt;=0),OFFSET('Input data (2)'!AU$126,'Input data (2)'!$BL$1-$C11,0),IF(AND('Input data (2)'!$C$2=2,$B11&gt;=0),OFFSET('Input data (2)'!AU$126,'Input data (2)'!$BL$1-$B11,0),IF(AND('Input data (2)'!$C$2=1,$A11&gt;=0),OFFSET('Input data (2)'!AU$126,'Input data (2)'!$BL$1-$A11,0),""))))</f>
        <v>16</v>
      </c>
      <c r="BK23" s="1">
        <f ca="1">IF(AND('Input data (2)'!$C$2=4,$D11&gt;=0),OFFSET('Input data (2)'!AV$126,'Input data (2)'!$BL$1-$D11,0),IF(AND('Input data (2)'!$C$2=3,$C11&gt;=0),OFFSET('Input data (2)'!AV$126,'Input data (2)'!$BL$1-$C11,0),IF(AND('Input data (2)'!$C$2=2,$B11&gt;=0),OFFSET('Input data (2)'!AV$126,'Input data (2)'!$BL$1-$B11,0),IF(AND('Input data (2)'!$C$2=1,$A11&gt;=0),OFFSET('Input data (2)'!AV$126,'Input data (2)'!$BL$1-$A11,0),""))))</f>
        <v>0</v>
      </c>
      <c r="BL23" s="1">
        <f ca="1">IF(AND('Input data (2)'!$C$2=4,$D11&gt;=0),OFFSET('Input data (2)'!AW$126,'Input data (2)'!$BL$1-$D11,0),IF(AND('Input data (2)'!$C$2=3,$C11&gt;=0),OFFSET('Input data (2)'!AW$126,'Input data (2)'!$BL$1-$C11,0),IF(AND('Input data (2)'!$C$2=2,$B11&gt;=0),OFFSET('Input data (2)'!AW$126,'Input data (2)'!$BL$1-$B11,0),IF(AND('Input data (2)'!$C$2=1,$A11&gt;=0),OFFSET('Input data (2)'!AW$126,'Input data (2)'!$BL$1-$A11,0),""))))</f>
        <v>4</v>
      </c>
      <c r="BM23" s="1">
        <f ca="1">IF(AND('Input data (2)'!$C$2=4,$D11&gt;=0),OFFSET('Input data (2)'!AX$126,'Input data (2)'!$BL$1-$D11,0),IF(AND('Input data (2)'!$C$2=3,$C11&gt;=0),OFFSET('Input data (2)'!AX$126,'Input data (2)'!$BL$1-$C11,0),IF(AND('Input data (2)'!$C$2=2,$B11&gt;=0),OFFSET('Input data (2)'!AX$126,'Input data (2)'!$BL$1-$B11,0),IF(AND('Input data (2)'!$C$2=1,$A11&gt;=0),OFFSET('Input data (2)'!AX$126,'Input data (2)'!$BL$1-$A11,0),""))))</f>
        <v>1</v>
      </c>
      <c r="BO23" s="1">
        <f ca="1">IF(AND('Input data (2)'!$C$2=4,$D11&gt;=0),OFFSET('Input data (2)'!BL$126,'Input data (2)'!$BL$1-$D11,0),IF(AND('Input data (2)'!$C$2=3,$C11&gt;=0),OFFSET('Input data (2)'!BL$126,'Input data (2)'!$BL$1-$C11,0),IF(AND('Input data (2)'!$C$2=2,$B11&gt;=0),OFFSET('Input data (2)'!BL$126,'Input data (2)'!$BL$1-$B11,0),IF(AND('Input data (2)'!$C$2=1,$A11&gt;=0),OFFSET('Input data (2)'!BL$126,'Input data (2)'!$BL$1-$A11,0),""))))</f>
        <v>294</v>
      </c>
      <c r="BP23" s="1">
        <f ca="1">IF(AND('Input data (2)'!$C$2=4,$D11&gt;=0),OFFSET('Input data (2)'!BI$126,'Input data (2)'!$BL$1-$D11,0),IF(AND('Input data (2)'!$C$2=3,$C11&gt;=0),OFFSET('Input data (2)'!BI$126,'Input data (2)'!$BL$1-$C11,0),IF(AND('Input data (2)'!$C$2=2,$B11&gt;=0),OFFSET('Input data (2)'!BI$126,'Input data (2)'!$BL$1-$B11,0),IF(AND('Input data (2)'!$C$2=1,$A11&gt;=0),OFFSET('Input data (2)'!BI$126,'Input data (2)'!$BL$1-$A11,0),""))))</f>
        <v>173</v>
      </c>
      <c r="BQ23" s="1" t="str">
        <f ca="1">IF(AND('Input data (2)'!$C$2=4,$D11&gt;=0),OFFSET('Input data (2)'!BK$126,'Input data (2)'!$BL$1-$D11,0),IF(AND('Input data (2)'!$C$2=3,$C11&gt;=0),OFFSET('Input data (2)'!BK$126,'Input data (2)'!$BL$1-$C11,0),IF(AND('Input data (2)'!$C$2=2,$B11&gt;=0),OFFSET('Input data (2)'!BK$126,'Input data (2)'!$BL$1-$B11,0),IF(AND('Input data (2)'!$C$2=1,$A11&gt;=0),OFFSET('Input data (2)'!BK$126,'Input data (2)'!$BL$1-$A11,0),""))))</f>
        <v>..</v>
      </c>
      <c r="BR23" s="1">
        <f ca="1">IF(AND('Input data (2)'!$C$2=4,$D11&gt;=0),OFFSET('Input data (2)'!BJ$126,'Input data (2)'!$BL$1-$D11,0),IF(AND('Input data (2)'!$C$2=3,$C11&gt;=0),OFFSET('Input data (2)'!BJ$126,'Input data (2)'!$BL$1-$C11,0),IF(AND('Input data (2)'!$C$2=2,$B11&gt;=0),OFFSET('Input data (2)'!BJ$126,'Input data (2)'!$BL$1-$B11,0),IF(AND('Input data (2)'!$C$2=1,$A11&gt;=0),OFFSET('Input data (2)'!BJ$126,'Input data (2)'!$BL$1-$A11,0),""))))</f>
        <v>121</v>
      </c>
      <c r="BS23" s="1">
        <f ca="1">IF(AND('Input data (2)'!$C$2=4,$D11&gt;=0),OFFSET('Input data (2)'!BF$126,'Input data (2)'!$BL$1-$D11,0),IF(AND('Input data (2)'!$C$2=3,$C11&gt;=0),OFFSET('Input data (2)'!BF$126,'Input data (2)'!$BL$1-$C11,0),IF(AND('Input data (2)'!$C$2=2,$B11&gt;=0),OFFSET('Input data (2)'!BF$126,'Input data (2)'!$BL$1-$B11,0),IF(AND('Input data (2)'!$C$2=1,$A11&gt;=0),OFFSET('Input data (2)'!BF$126,'Input data (2)'!$BL$1-$A11,0),""))))</f>
        <v>19</v>
      </c>
      <c r="BT23" s="1">
        <f ca="1">IF(AND('Input data (2)'!$C$2=4,$D11&gt;=0),OFFSET('Input data (2)'!BD$126,'Input data (2)'!$BL$1-$D11,0),IF(AND('Input data (2)'!$C$2=3,$C11&gt;=0),OFFSET('Input data (2)'!BD$126,'Input data (2)'!$BL$1-$C11,0),IF(AND('Input data (2)'!$C$2=2,$B11&gt;=0),OFFSET('Input data (2)'!BD$126,'Input data (2)'!$BL$1-$B11,0),IF(AND('Input data (2)'!$C$2=1,$A11&gt;=0),OFFSET('Input data (2)'!BD$126,'Input data (2)'!$BL$1-$A11,0),""))))</f>
        <v>10</v>
      </c>
      <c r="BU23" s="1">
        <f ca="1">IF(AND('Input data (2)'!$C$2=4,$D11&gt;=0),OFFSET('Input data (2)'!BE$126,'Input data (2)'!$BL$1-$D11,0),IF(AND('Input data (2)'!$C$2=3,$C11&gt;=0),OFFSET('Input data (2)'!BE$126,'Input data (2)'!$BL$1-$C11,0),IF(AND('Input data (2)'!$C$2=2,$B11&gt;=0),OFFSET('Input data (2)'!BE$126,'Input data (2)'!$BL$1-$B11,0),IF(AND('Input data (2)'!$C$2=1,$A11&gt;=0),OFFSET('Input data (2)'!BE$126,'Input data (2)'!$BL$1-$A11,0),""))))</f>
        <v>9</v>
      </c>
      <c r="BW23" s="7">
        <f ca="1">IF(AND('Input data (2)'!$C$2=4,$D11&gt;=0),OFFSET('Input data (2)'!J$126,'Input data (2)'!$BL$1-$D11,0),IF(AND('Input data (2)'!$C$2=3,$C11&gt;=0),OFFSET('Input data (2)'!J$126,'Input data (2)'!$BL$1-$C11,0),IF(AND('Input data (2)'!$C$2=2,$B11&gt;=0),OFFSET('Input data (2)'!J$126,'Input data (2)'!$BL$1-$B11,0),IF(AND('Input data (2)'!$C$2=1,$A11&gt;=0),OFFSET('Input data (2)'!J$126,'Input data (2)'!$BL$1-$A11,0),""))))</f>
        <v>0.69674313369776864</v>
      </c>
      <c r="BX23" s="7">
        <f ca="1">IF(AND('Input data (2)'!$C$2=4,$D11&gt;=0),OFFSET('Input data (2)'!K$126,'Input data (2)'!$BL$1-$D11,0),IF(AND('Input data (2)'!$C$2=3,$C11&gt;=0),OFFSET('Input data (2)'!K$126,'Input data (2)'!$BL$1-$C11,0),IF(AND('Input data (2)'!$C$2=2,$B11&gt;=0),OFFSET('Input data (2)'!K$126,'Input data (2)'!$BL$1-$B11,0),IF(AND('Input data (2)'!$C$2=1,$A11&gt;=0),OFFSET('Input data (2)'!K$126,'Input data (2)'!$BL$1-$A11,0),""))))</f>
        <v>0.63644494294996701</v>
      </c>
      <c r="BY23" s="7">
        <f ca="1">IF(AND('Input data (2)'!$C$2=4,$D11&gt;=0),OFFSET('Input data (2)'!AS$126,'Input data (2)'!$BL$1-$D11,0),IF(AND('Input data (2)'!$C$2=3,$C11&gt;=0),OFFSET('Input data (2)'!AS$126,'Input data (2)'!$BL$1-$C11,0),IF(AND('Input data (2)'!$C$2=2,$B11&gt;=0),OFFSET('Input data (2)'!AS$126,'Input data (2)'!$BL$1-$B11,0),IF(AND('Input data (2)'!$C$2=1,$A11&gt;=0),OFFSET('Input data (2)'!AS$126,'Input data (2)'!$BL$1-$A11,0),""))))</f>
        <v>0.61488846977677114</v>
      </c>
      <c r="BZ23" s="7">
        <f ca="1">IF(AND('Input data (2)'!$C$2=4,$D11&gt;=0),OFFSET('Input data (2)'!AT$126,'Input data (2)'!$BL$1-$D11,0),IF(AND('Input data (2)'!$C$2=3,$C11&gt;=0),OFFSET('Input data (2)'!AT$126,'Input data (2)'!$BL$1-$C11,0),IF(AND('Input data (2)'!$C$2=2,$B11&gt;=0),OFFSET('Input data (2)'!AT$126,'Input data (2)'!$BL$1-$B11,0),IF(AND('Input data (2)'!$C$2=1,$A11&gt;=0),OFFSET('Input data (2)'!AT$126,'Input data (2)'!$BL$1-$A11,0),""))))</f>
        <v>0.56435216392930876</v>
      </c>
      <c r="CB23" s="122"/>
      <c r="CC23" s="122"/>
      <c r="CD23" s="122"/>
      <c r="CE23" s="122"/>
      <c r="CG23" s="1">
        <v>21</v>
      </c>
      <c r="CI23" s="1">
        <f t="shared" ca="1" si="24"/>
        <v>2008</v>
      </c>
      <c r="CJ23" s="1" t="str">
        <f t="shared" si="25"/>
        <v>Q1</v>
      </c>
      <c r="CK23" s="1" t="str">
        <f t="shared" ca="1" si="12"/>
        <v>08</v>
      </c>
      <c r="CL23" s="1" t="str">
        <f t="shared" ca="1" si="13"/>
        <v>Q1 08</v>
      </c>
      <c r="CM23" s="1">
        <f ca="1">OFFSET('Input data (2)'!AJ$126,'Input data (2)'!$BL$1-'Output data - DO NOT TOUCH (2)'!$CG23,0)/1000</f>
        <v>15.481999999999999</v>
      </c>
      <c r="CN23" s="1">
        <f ca="1">OFFSET('Input data (2)'!AK$126,'Input data (2)'!$BL$1-'Output data - DO NOT TOUCH (2)'!$CG23,0)/1000</f>
        <v>9.641</v>
      </c>
      <c r="CO23" s="1">
        <f ca="1">OFFSET('Input data (2)'!AL$126,'Input data (2)'!$BL$1-'Output data - DO NOT TOUCH (2)'!$CG23,0)/1000</f>
        <v>25.123000000000001</v>
      </c>
      <c r="CP23" s="1"/>
      <c r="CQ23" s="1">
        <f ca="1">OFFSET('Input data (2)'!AG$126,'Input data (2)'!$BL$1-'Output data - DO NOT TOUCH (2)'!$CG23,0)/1000</f>
        <v>1.1659999999999999</v>
      </c>
      <c r="CR23" s="1">
        <f ca="1">OFFSET('Input data (2)'!AH$126,'Input data (2)'!$BL$1-'Output data - DO NOT TOUCH (2)'!$CG23,0)/1000</f>
        <v>2.06</v>
      </c>
      <c r="CS23" s="1">
        <f ca="1">OFFSET('Input data (2)'!AI$126,'Input data (2)'!$BL$1-'Output data - DO NOT TOUCH (2)'!$CG23,0)/1000</f>
        <v>3.226</v>
      </c>
      <c r="CT23" s="1"/>
      <c r="CU23" s="1">
        <f ca="1">OFFSET('Input data (2)'!L$126,'Input data (2)'!$BL$1-'Output data - DO NOT TOUCH (2)'!$CG23,0)</f>
        <v>159</v>
      </c>
      <c r="CV23" s="1">
        <f ca="1">OFFSET('Input data (2)'!M$126,'Input data (2)'!$BL$1-'Output data - DO NOT TOUCH (2)'!$CG23,0)</f>
        <v>1</v>
      </c>
      <c r="CW23" s="67">
        <f ca="1">OFFSET('Input data (2)'!N$126,'Input data (2)'!$BL$1-'Output data - DO NOT TOUCH (2)'!$CG23,0)</f>
        <v>858</v>
      </c>
      <c r="CX23" s="1">
        <f ca="1">OFFSET('Input data (2)'!P$126,'Input data (2)'!$BL$1-'Output data - DO NOT TOUCH (2)'!$CG23,0)</f>
        <v>140</v>
      </c>
      <c r="CY23" s="1"/>
      <c r="CZ23" s="1">
        <f ca="1">OFFSET('Input data (2)'!AY$126,'Input data (2)'!$BL$1-'Output data - DO NOT TOUCH (2)'!$CG23,0)/1000</f>
        <v>1.444</v>
      </c>
      <c r="DA23" s="1">
        <f ca="1">OFFSET('Input data (2)'!BA$126,'Input data (2)'!$BL$1-'Output data - DO NOT TOUCH (2)'!$CG23,0)/1000</f>
        <v>1.88</v>
      </c>
      <c r="DB23" s="1">
        <f ca="1">OFFSET('Input data (2)'!BB$126,'Input data (2)'!$BL$1-'Output data - DO NOT TOUCH (2)'!$CG23,0)/1000</f>
        <v>3.3239999999999998</v>
      </c>
      <c r="DD23" s="1">
        <f ca="1">OFFSET('Input data (2)'!AN$126,'Input data (2)'!$BL$1-'Output data - DO NOT TOUCH (2)'!$CG23,0)</f>
        <v>95</v>
      </c>
      <c r="DE23" s="1">
        <f ca="1">OFFSET('Input data (2)'!AO$126,'Input data (2)'!$BL$1-'Output data - DO NOT TOUCH (2)'!$CG23,0)</f>
        <v>7</v>
      </c>
      <c r="DF23" s="1">
        <f ca="1">OFFSET('Input data (2)'!AP$126,'Input data (2)'!$BL$1-'Output data - DO NOT TOUCH (2)'!$CG23,0)</f>
        <v>102</v>
      </c>
      <c r="DG23" s="1"/>
      <c r="DH23" s="1">
        <f ca="1">OFFSET('Input data (2)'!AU$126,'Input data (2)'!$BL$1-'Output data - DO NOT TOUCH (2)'!$CG23,0)</f>
        <v>56</v>
      </c>
      <c r="DI23" s="1">
        <f ca="1">OFFSET('Input data (2)'!AV$126,'Input data (2)'!$BL$1-'Output data - DO NOT TOUCH (2)'!$CG23,0)</f>
        <v>0</v>
      </c>
      <c r="DJ23" s="1">
        <f ca="1">OFFSET('Input data (2)'!AW$126,'Input data (2)'!$BL$1-'Output data - DO NOT TOUCH (2)'!$CG23,0)</f>
        <v>12</v>
      </c>
      <c r="DK23" s="1">
        <f ca="1">OFFSET('Input data (2)'!AX$126,'Input data (2)'!$BL$1-'Output data - DO NOT TOUCH (2)'!$CG23,0)</f>
        <v>0</v>
      </c>
      <c r="DM23" s="1">
        <f ca="1">OFFSET('Input data (2)'!BI$126,'Input data (2)'!$BL$1-'Output data - DO NOT TOUCH (2)'!$CG23,0)</f>
        <v>226</v>
      </c>
      <c r="DN23" s="1">
        <f ca="1">OFFSET('Input data (2)'!BJ$126,'Input data (2)'!$BL$1-'Output data - DO NOT TOUCH (2)'!$CG23,0)</f>
        <v>104</v>
      </c>
      <c r="DO23" s="1">
        <f ca="1">OFFSET('Input data (2)'!BL$126,'Input data (2)'!$BL$1-'Output data - DO NOT TOUCH (2)'!$CG23,0)</f>
        <v>330</v>
      </c>
      <c r="DQ23" s="1">
        <f ca="1">OFFSET('Input data (2)'!BD$126,'Input data (2)'!$BL$1-'Output data - DO NOT TOUCH (2)'!$CG23,0)</f>
        <v>37</v>
      </c>
      <c r="DR23" s="1">
        <f ca="1">OFFSET('Input data (2)'!BE$126,'Input data (2)'!$BL$1-'Output data - DO NOT TOUCH (2)'!$CG23,0)</f>
        <v>5</v>
      </c>
      <c r="DS23" s="1">
        <f ca="1">OFFSET('Input data (2)'!BF$126,'Input data (2)'!$BL$1-'Output data - DO NOT TOUCH (2)'!$CG23,0)</f>
        <v>42</v>
      </c>
      <c r="DU23" s="1">
        <f ca="1">OFFSET('Input data (2)'!B$126,'Input data (2)'!$BL$1-'Output data - DO NOT TOUCH (2)'!$CG23-1,0)</f>
        <v>2007</v>
      </c>
      <c r="DV23" s="1" t="str">
        <f ca="1">OFFSET('Input data (2)'!C$126,'Input data (2)'!$BL$1-'Output data - DO NOT TOUCH (2)'!$CG23-1,0)</f>
        <v>Q4</v>
      </c>
      <c r="DW23" s="1" t="str">
        <f t="shared" ca="1" si="14"/>
        <v>07</v>
      </c>
      <c r="DX23" s="1" t="str">
        <f t="shared" ca="1" si="15"/>
        <v>Q4 07</v>
      </c>
      <c r="DY23" s="1">
        <f ca="1">OFFSET('Input data (2)'!W$126,'Input data (2)'!$BL$1-'Output data - DO NOT TOUCH (2)'!$CG23-1,0)/1000</f>
        <v>1.65</v>
      </c>
      <c r="DZ23" s="1">
        <f ca="1">OFFSET('Input data (2)'!Y$126,'Input data (2)'!$BL$1-'Output data - DO NOT TOUCH (2)'!$CG23-1,0)/1000</f>
        <v>12.804</v>
      </c>
      <c r="EA23" s="1">
        <f ca="1">OFFSET('Input data (2)'!Q$126,'Input data (2)'!$BL$1-'Output data - DO NOT TOUCH (2)'!$CG23-1,0)/1000</f>
        <v>14.454000000000001</v>
      </c>
      <c r="EC23" s="3" t="str">
        <f t="shared" si="26"/>
        <v>Q2 13</v>
      </c>
      <c r="ED23" s="68" t="e">
        <f t="shared" ca="1" si="27"/>
        <v>#VALUE!</v>
      </c>
      <c r="EE23" s="68" t="e">
        <f t="shared" ca="1" si="28"/>
        <v>#VALUE!</v>
      </c>
      <c r="EF23" s="68" t="e">
        <f t="shared" ca="1" si="29"/>
        <v>#VALUE!</v>
      </c>
      <c r="EH23" s="68">
        <f t="shared" ca="1" si="30"/>
        <v>-1.6485100215556585</v>
      </c>
      <c r="EI23" s="68">
        <f t="shared" ca="1" si="31"/>
        <v>-0.47001776370743126</v>
      </c>
      <c r="EJ23" s="68">
        <f t="shared" ca="1" si="32"/>
        <v>-2.1185277852630899</v>
      </c>
    </row>
    <row r="24" spans="1:140" x14ac:dyDescent="0.15">
      <c r="A24" s="1">
        <v>20</v>
      </c>
      <c r="B24" s="1">
        <v>21</v>
      </c>
      <c r="C24" s="1">
        <v>22</v>
      </c>
      <c r="D24" s="1">
        <v>19</v>
      </c>
      <c r="CG24" s="1">
        <v>20</v>
      </c>
      <c r="CI24" s="1">
        <f t="shared" si="24"/>
        <v>2008</v>
      </c>
      <c r="CJ24" s="1" t="str">
        <f t="shared" si="25"/>
        <v>Q2</v>
      </c>
      <c r="CK24" s="1" t="str">
        <f t="shared" si="12"/>
        <v>08</v>
      </c>
      <c r="CL24" s="1" t="str">
        <f t="shared" si="13"/>
        <v>Q2 08</v>
      </c>
      <c r="CM24" s="1">
        <f ca="1">OFFSET('Input data (2)'!AJ$126,'Input data (2)'!$BL$1-'Output data - DO NOT TOUCH (2)'!$CG24,0)/1000</f>
        <v>15.536</v>
      </c>
      <c r="CN24" s="1">
        <f ca="1">OFFSET('Input data (2)'!AK$126,'Input data (2)'!$BL$1-'Output data - DO NOT TOUCH (2)'!$CG24,0)/1000</f>
        <v>9.375</v>
      </c>
      <c r="CO24" s="1">
        <f ca="1">OFFSET('Input data (2)'!AL$126,'Input data (2)'!$BL$1-'Output data - DO NOT TOUCH (2)'!$CG24,0)/1000</f>
        <v>24.911000000000001</v>
      </c>
      <c r="CP24" s="1"/>
      <c r="CQ24" s="1">
        <f ca="1">OFFSET('Input data (2)'!AG$126,'Input data (2)'!$BL$1-'Output data - DO NOT TOUCH (2)'!$CG24,0)/1000</f>
        <v>1.2729999999999999</v>
      </c>
      <c r="CR24" s="1">
        <f ca="1">OFFSET('Input data (2)'!AH$126,'Input data (2)'!$BL$1-'Output data - DO NOT TOUCH (2)'!$CG24,0)/1000</f>
        <v>2.2440000000000002</v>
      </c>
      <c r="CS24" s="1">
        <f ca="1">OFFSET('Input data (2)'!AI$126,'Input data (2)'!$BL$1-'Output data - DO NOT TOUCH (2)'!$CG24,0)/1000</f>
        <v>3.5169999999999999</v>
      </c>
      <c r="CT24" s="1"/>
      <c r="CU24" s="1">
        <f ca="1">OFFSET('Input data (2)'!L$126,'Input data (2)'!$BL$1-'Output data - DO NOT TOUCH (2)'!$CG24,0)</f>
        <v>177</v>
      </c>
      <c r="CV24" s="1">
        <f ca="1">OFFSET('Input data (2)'!M$126,'Input data (2)'!$BL$1-'Output data - DO NOT TOUCH (2)'!$CG24,0)</f>
        <v>0</v>
      </c>
      <c r="CW24" s="67">
        <f ca="1">OFFSET('Input data (2)'!N$126,'Input data (2)'!$BL$1-'Output data - DO NOT TOUCH (2)'!$CG24,0)</f>
        <v>938</v>
      </c>
      <c r="CX24" s="1">
        <f ca="1">OFFSET('Input data (2)'!P$126,'Input data (2)'!$BL$1-'Output data - DO NOT TOUCH (2)'!$CG24,0)</f>
        <v>131</v>
      </c>
      <c r="CY24" s="1"/>
      <c r="CZ24" s="1">
        <f ca="1">OFFSET('Input data (2)'!AY$126,'Input data (2)'!$BL$1-'Output data - DO NOT TOUCH (2)'!$CG24,0)/1000</f>
        <v>2.9319999999999999</v>
      </c>
      <c r="DA24" s="1">
        <f ca="1">OFFSET('Input data (2)'!BA$126,'Input data (2)'!$BL$1-'Output data - DO NOT TOUCH (2)'!$CG24,0)/1000</f>
        <v>1.8819999999999999</v>
      </c>
      <c r="DB24" s="1">
        <f ca="1">OFFSET('Input data (2)'!BB$126,'Input data (2)'!$BL$1-'Output data - DO NOT TOUCH (2)'!$CG24,0)/1000</f>
        <v>4.8140000000000001</v>
      </c>
      <c r="DD24" s="1">
        <f ca="1">OFFSET('Input data (2)'!AN$126,'Input data (2)'!$BL$1-'Output data - DO NOT TOUCH (2)'!$CG24,0)</f>
        <v>111</v>
      </c>
      <c r="DE24" s="1">
        <f ca="1">OFFSET('Input data (2)'!AO$126,'Input data (2)'!$BL$1-'Output data - DO NOT TOUCH (2)'!$CG24,0)</f>
        <v>21</v>
      </c>
      <c r="DF24" s="1">
        <f ca="1">OFFSET('Input data (2)'!AP$126,'Input data (2)'!$BL$1-'Output data - DO NOT TOUCH (2)'!$CG24,0)</f>
        <v>132</v>
      </c>
      <c r="DG24" s="1"/>
      <c r="DH24" s="1">
        <f ca="1">OFFSET('Input data (2)'!AU$126,'Input data (2)'!$BL$1-'Output data - DO NOT TOUCH (2)'!$CG24,0)</f>
        <v>17</v>
      </c>
      <c r="DI24" s="1">
        <f ca="1">OFFSET('Input data (2)'!AV$126,'Input data (2)'!$BL$1-'Output data - DO NOT TOUCH (2)'!$CG24,0)</f>
        <v>0</v>
      </c>
      <c r="DJ24" s="1">
        <f ca="1">OFFSET('Input data (2)'!AW$126,'Input data (2)'!$BL$1-'Output data - DO NOT TOUCH (2)'!$CG24,0)</f>
        <v>35</v>
      </c>
      <c r="DK24" s="1">
        <f ca="1">OFFSET('Input data (2)'!AX$126,'Input data (2)'!$BL$1-'Output data - DO NOT TOUCH (2)'!$CG24,0)</f>
        <v>2</v>
      </c>
      <c r="DM24" s="1">
        <f ca="1">OFFSET('Input data (2)'!BI$126,'Input data (2)'!$BL$1-'Output data - DO NOT TOUCH (2)'!$CG24,0)</f>
        <v>331</v>
      </c>
      <c r="DN24" s="1">
        <f ca="1">OFFSET('Input data (2)'!BJ$126,'Input data (2)'!$BL$1-'Output data - DO NOT TOUCH (2)'!$CG24,0)</f>
        <v>148</v>
      </c>
      <c r="DO24" s="1">
        <f ca="1">OFFSET('Input data (2)'!BL$126,'Input data (2)'!$BL$1-'Output data - DO NOT TOUCH (2)'!$CG24,0)</f>
        <v>479</v>
      </c>
      <c r="DQ24" s="1">
        <f ca="1">OFFSET('Input data (2)'!BD$126,'Input data (2)'!$BL$1-'Output data - DO NOT TOUCH (2)'!$CG24,0)</f>
        <v>42</v>
      </c>
      <c r="DR24" s="1">
        <f ca="1">OFFSET('Input data (2)'!BE$126,'Input data (2)'!$BL$1-'Output data - DO NOT TOUCH (2)'!$CG24,0)</f>
        <v>15</v>
      </c>
      <c r="DS24" s="1">
        <f ca="1">OFFSET('Input data (2)'!BF$126,'Input data (2)'!$BL$1-'Output data - DO NOT TOUCH (2)'!$CG24,0)</f>
        <v>57</v>
      </c>
      <c r="DU24" s="1">
        <f ca="1">OFFSET('Input data (2)'!B$126,'Input data (2)'!$BL$1-'Output data - DO NOT TOUCH (2)'!$CG24-1,0)</f>
        <v>2008</v>
      </c>
      <c r="DV24" s="1" t="str">
        <f ca="1">OFFSET('Input data (2)'!C$126,'Input data (2)'!$BL$1-'Output data - DO NOT TOUCH (2)'!$CG24-1,0)</f>
        <v>Q1</v>
      </c>
      <c r="DW24" s="1" t="str">
        <f t="shared" ca="1" si="14"/>
        <v>08</v>
      </c>
      <c r="DX24" s="1" t="str">
        <f t="shared" ca="1" si="15"/>
        <v>Q1 08</v>
      </c>
      <c r="DY24" s="1">
        <f ca="1">OFFSET('Input data (2)'!W$126,'Input data (2)'!$BL$1-'Output data - DO NOT TOUCH (2)'!$CG24-1,0)/1000</f>
        <v>1.915</v>
      </c>
      <c r="DZ24" s="1">
        <f ca="1">OFFSET('Input data (2)'!Y$126,'Input data (2)'!$BL$1-'Output data - DO NOT TOUCH (2)'!$CG24-1,0)/1000</f>
        <v>13.898999999999999</v>
      </c>
      <c r="EA24" s="1">
        <f ca="1">OFFSET('Input data (2)'!Q$126,'Input data (2)'!$BL$1-'Output data - DO NOT TOUCH (2)'!$CG24-1,0)/1000</f>
        <v>15.814</v>
      </c>
    </row>
    <row r="25" spans="1:140" x14ac:dyDescent="0.15">
      <c r="A25" s="1">
        <v>19</v>
      </c>
      <c r="B25" s="1">
        <v>20</v>
      </c>
      <c r="C25" s="1">
        <v>21</v>
      </c>
      <c r="D25" s="1">
        <v>18</v>
      </c>
      <c r="E25" s="1" t="str">
        <f>F25&amp;G25</f>
        <v>2005Q1</v>
      </c>
      <c r="F25" s="1">
        <f>F20+1</f>
        <v>2005</v>
      </c>
      <c r="G25" s="1" t="s">
        <v>1</v>
      </c>
      <c r="H25" s="1">
        <f>VLOOKUP($E25,'Input data (2)'!$A:$BL,'Output data - DO NOT TOUCH (2)'!H$71,FALSE)</f>
        <v>3010</v>
      </c>
      <c r="I25" s="1">
        <f>VLOOKUP($E25,'Input data (2)'!$A:$BL,'Output data - DO NOT TOUCH (2)'!I$71,FALSE)</f>
        <v>1101</v>
      </c>
      <c r="J25" s="1">
        <f>VLOOKUP($E25,'Input data (2)'!$A:$BL,'Output data - DO NOT TOUCH (2)'!J$71,FALSE)</f>
        <v>1909</v>
      </c>
      <c r="K25" s="1">
        <f>VLOOKUP($E25,'Input data (2)'!$A:$BL,'Output data - DO NOT TOUCH (2)'!K$71,FALSE)</f>
        <v>3036</v>
      </c>
      <c r="L25" s="1">
        <f>VLOOKUP($E25,'Input data (2)'!$A:$BL,'Output data - DO NOT TOUCH (2)'!L$71,FALSE)</f>
        <v>1182</v>
      </c>
      <c r="M25" s="1">
        <f>VLOOKUP($E25,'Input data (2)'!$A:$BL,'Output data - DO NOT TOUCH (2)'!M$71,FALSE)</f>
        <v>1854</v>
      </c>
      <c r="O25" s="119">
        <f ca="1">IF(AND('Input data (2)'!$C$2=4,$D12&gt;=0),OFFSET('Input data (2)'!O$126,'Input data (2)'!$BL$1-$D12,0),IF(AND('Input data (2)'!$C$2=3,$C12&gt;=0),OFFSET('Input data (2)'!O$126,'Input data (2)'!$BL$1-$C12,0),IF(AND('Input data (2)'!$C$2=2,$B12&gt;=0),OFFSET('Input data (2)'!O$126,'Input data (2)'!$BL$1-$B12,0),IF(AND('Input data (2)'!$C$2=1,$A12&gt;=0),OFFSET('Input data (2)'!O$126,'Input data (2)'!$BL$1-$A12,0),""))))</f>
        <v>204</v>
      </c>
      <c r="Q25" s="1">
        <f ca="1">IF(AND('Input data (2)'!$C$2=4,$D12&gt;=0),OFFSET('Input data (2)'!AC$126,'Input data (2)'!$BL$1-$D12,0),IF(AND('Input data (2)'!$C$2=3,$C12&gt;=0),OFFSET('Input data (2)'!AC$126,'Input data (2)'!$BL$1-$C12,0),IF(AND('Input data (2)'!$C$2=2,$B12&gt;=0),OFFSET('Input data (2)'!AC$126,'Input data (2)'!$BL$1-$B12,0),IF(AND('Input data (2)'!$C$2=1,$A12&gt;=0),OFFSET('Input data (2)'!AC$126,'Input data (2)'!$BL$1-$A12,0),""))))</f>
        <v>13190</v>
      </c>
      <c r="R25" s="1">
        <f ca="1">IF(AND('Input data (2)'!$C$2=4,$D12&gt;=0),OFFSET('Input data (2)'!Q$126,'Input data (2)'!$BL$1-$D12,0),IF(AND('Input data (2)'!$C$2=3,$C12&gt;=0),OFFSET('Input data (2)'!Q$126,'Input data (2)'!$BL$1-$C12,0),IF(AND('Input data (2)'!$C$2=2,$B12&gt;=0),OFFSET('Input data (2)'!Q$126,'Input data (2)'!$BL$1-$B12,0),IF(AND('Input data (2)'!$C$2=1,$A12&gt;=0),OFFSET('Input data (2)'!Q$126,'Input data (2)'!$BL$1-$A12,0),""))))</f>
        <v>10188</v>
      </c>
      <c r="S25" s="1" t="str">
        <f ca="1">IF(AND('Input data (2)'!$C$2=4,$D12&gt;=0),OFFSET('Input data (2)'!R$126,'Input data (2)'!$BL$1-$D12,0),IF(AND('Input data (2)'!$C$2=3,$C12&gt;=0),OFFSET('Input data (2)'!R$126,'Input data (2)'!$BL$1-$C12,0),IF(AND('Input data (2)'!$C$2=2,$B12&gt;=0),OFFSET('Input data (2)'!R$126,'Input data (2)'!$BL$1-$B12,0),IF(AND('Input data (2)'!$C$2=1,$A12&gt;=0),OFFSET('Input data (2)'!R$126,'Input data (2)'!$BL$1-$A12,0),""))))</f>
        <v>:</v>
      </c>
      <c r="T25" s="1">
        <f ca="1">IF(AND('Input data (2)'!$C$2=4,$D12&gt;=0),OFFSET('Input data (2)'!AA$126,'Input data (2)'!$BL$1-$D12,0),IF(AND('Input data (2)'!$C$2=3,$C12&gt;=0),OFFSET('Input data (2)'!AA$126,'Input data (2)'!$BL$1-$C12,0),IF(AND('Input data (2)'!$C$2=2,$B12&gt;=0),OFFSET('Input data (2)'!AA$126,'Input data (2)'!$BL$1-$B12,0),IF(AND('Input data (2)'!$C$2=1,$A12&gt;=0),OFFSET('Input data (2)'!AA$126,'Input data (2)'!$BL$1-$A12,0),""))))</f>
        <v>3002</v>
      </c>
      <c r="U25" s="1">
        <f ca="1">IF(AND('Input data (2)'!$C$2=4,$D12&gt;=0),OFFSET('Input data (2)'!AL$126,'Input data (2)'!$BL$1-$D12,0),IF(AND('Input data (2)'!$C$2=3,$C12&gt;=0),OFFSET('Input data (2)'!AL$126,'Input data (2)'!$BL$1-$C12,0),IF(AND('Input data (2)'!$C$2=2,$B12&gt;=0),OFFSET('Input data (2)'!AL$126,'Input data (2)'!$BL$1-$B12,0),IF(AND('Input data (2)'!$C$2=1,$A12&gt;=0),OFFSET('Input data (2)'!AL$126,'Input data (2)'!$BL$1-$A12,0),""))))</f>
        <v>13451</v>
      </c>
      <c r="V25" s="1">
        <f ca="1">IF(AND('Input data (2)'!$C$2=4,$D12&gt;=0),OFFSET('Input data (2)'!AJ$126,'Input data (2)'!$BL$1-$D12,0),IF(AND('Input data (2)'!$C$2=3,$C12&gt;=0),OFFSET('Input data (2)'!AJ$126,'Input data (2)'!$BL$1-$C12,0),IF(AND('Input data (2)'!$C$2=2,$B12&gt;=0),OFFSET('Input data (2)'!AJ$126,'Input data (2)'!$BL$1-$B12,0),IF(AND('Input data (2)'!$C$2=1,$A12&gt;=0),OFFSET('Input data (2)'!AJ$126,'Input data (2)'!$BL$1-$A12,0),""))))</f>
        <v>10089</v>
      </c>
      <c r="W25" s="1">
        <f ca="1">IF(AND('Input data (2)'!$C$2=4,$D12&gt;=0),OFFSET('Input data (2)'!AK$126,'Input data (2)'!$BL$1-$D12,0),IF(AND('Input data (2)'!$C$2=3,$C12&gt;=0),OFFSET('Input data (2)'!AK$126,'Input data (2)'!$BL$1-$C12,0),IF(AND('Input data (2)'!$C$2=2,$B12&gt;=0),OFFSET('Input data (2)'!AK$126,'Input data (2)'!$BL$1-$B12,0),IF(AND('Input data (2)'!$C$2=1,$A12&gt;=0),OFFSET('Input data (2)'!AK$126,'Input data (2)'!$BL$1-$A12,0),""))))</f>
        <v>3362</v>
      </c>
      <c r="Y25" s="1">
        <f ca="1">IF(AND('Input data (2)'!$C$2=4,$D12&gt;=0),OFFSET('Input data (2)'!Q$126,'Input data (2)'!$BL$1-$D12,0),IF(AND('Input data (2)'!$C$2=3,$C12&gt;=0),OFFSET('Input data (2)'!Q$126,'Input data (2)'!$BL$1-$C12,0),IF(AND('Input data (2)'!$C$2=2,$B12&gt;=0),OFFSET('Input data (2)'!Q$126,'Input data (2)'!$BL$1-$B12,0),IF(AND('Input data (2)'!$C$2=1,$A12&gt;=0),OFFSET('Input data (2)'!Q$126,'Input data (2)'!$BL$1-$A12,0),""))))</f>
        <v>10188</v>
      </c>
      <c r="Z25" s="1">
        <f ca="1">IF(AND('Input data (2)'!$C$2=4,$D12&gt;=0),OFFSET('Input data (2)'!S$126,'Input data (2)'!$BL$1-$D12,0),IF(AND('Input data (2)'!$C$2=3,$C12&gt;=0),OFFSET('Input data (2)'!S$126,'Input data (2)'!$BL$1-$C12,0),IF(AND('Input data (2)'!$C$2=2,$B12&gt;=0),OFFSET('Input data (2)'!S$126,'Input data (2)'!$BL$1-$B12,0),IF(AND('Input data (2)'!$C$2=1,$A12&gt;=0),OFFSET('Input data (2)'!S$126,'Input data (2)'!$BL$1-$A12,0),""))))</f>
        <v>8219</v>
      </c>
      <c r="AA25" s="1">
        <f ca="1">IF(AND('Input data (2)'!$C$2=4,$D12&gt;=0),OFFSET('Input data (2)'!T$126,'Input data (2)'!$BL$1-$D12,0),IF(AND('Input data (2)'!$C$2=3,$C12&gt;=0),OFFSET('Input data (2)'!T$126,'Input data (2)'!$BL$1-$C12,0),IF(AND('Input data (2)'!$C$2=2,$B12&gt;=0),OFFSET('Input data (2)'!T$126,'Input data (2)'!$BL$1-$B12,0),IF(AND('Input data (2)'!$C$2=1,$A12&gt;=0),OFFSET('Input data (2)'!T$126,'Input data (2)'!$BL$1-$A12,0),""))))</f>
        <v>80.673341185708679</v>
      </c>
      <c r="AB25" s="1">
        <f ca="1">IF(AND('Input data (2)'!$C$2=4,$D12&gt;=0),OFFSET('Input data (2)'!U$126,'Input data (2)'!$BL$1-$D12,0),IF(AND('Input data (2)'!$C$2=3,$C12&gt;=0),OFFSET('Input data (2)'!U$126,'Input data (2)'!$BL$1-$C12,0),IF(AND('Input data (2)'!$C$2=2,$B12&gt;=0),OFFSET('Input data (2)'!U$126,'Input data (2)'!$BL$1-$B12,0),IF(AND('Input data (2)'!$C$2=1,$A12&gt;=0),OFFSET('Input data (2)'!U$126,'Input data (2)'!$BL$1-$A12,0),""))))</f>
        <v>1969</v>
      </c>
      <c r="AC25" s="1">
        <f ca="1">IF(AND('Input data (2)'!$C$2=4,$D12&gt;=0),OFFSET('Input data (2)'!V$126,'Input data (2)'!$BL$1-$D12,0),IF(AND('Input data (2)'!$C$2=3,$C12&gt;=0),OFFSET('Input data (2)'!V$126,'Input data (2)'!$BL$1-$C12,0),IF(AND('Input data (2)'!$C$2=2,$B12&gt;=0),OFFSET('Input data (2)'!V$126,'Input data (2)'!$BL$1-$B12,0),IF(AND('Input data (2)'!$C$2=1,$A12&gt;=0),OFFSET('Input data (2)'!V$126,'Input data (2)'!$BL$1-$A12,0),""))))</f>
        <v>19.326658814291324</v>
      </c>
      <c r="AD25" s="1">
        <f ca="1">IF(AND('Input data (2)'!$C$2=4,$D12&gt;=0),OFFSET('Input data (2)'!Q$126,'Input data (2)'!$BL$1-$D12,0),IF(AND('Input data (2)'!$C$2=3,$C12&gt;=0),OFFSET('Input data (2)'!Q$126,'Input data (2)'!$BL$1-$C12,0),IF(AND('Input data (2)'!$C$2=2,$B12&gt;=0),OFFSET('Input data (2)'!Q$126,'Input data (2)'!$BL$1-$B12,0),IF(AND('Input data (2)'!$C$2=1,$A12&gt;=0),OFFSET('Input data (2)'!Q$126,'Input data (2)'!$BL$1-$A12,0),""))))</f>
        <v>10188</v>
      </c>
      <c r="AE25" s="1">
        <f ca="1">IF(AND('Input data (2)'!$C$2=4,$D12&gt;=0),OFFSET('Input data (2)'!W$126,'Input data (2)'!$BL$1-$D12,0),IF(AND('Input data (2)'!$C$2=3,$C12&gt;=0),OFFSET('Input data (2)'!W$126,'Input data (2)'!$BL$1-$C12,0),IF(AND('Input data (2)'!$C$2=2,$B12&gt;=0),OFFSET('Input data (2)'!W$126,'Input data (2)'!$BL$1-$B12,0),IF(AND('Input data (2)'!$C$2=1,$A12&gt;=0),OFFSET('Input data (2)'!W$126,'Input data (2)'!$BL$1-$A12,0),""))))</f>
        <v>2446</v>
      </c>
      <c r="AF25" s="1">
        <f ca="1">IF(AND('Input data (2)'!$C$2=4,$D12&gt;=0),OFFSET('Input data (2)'!X$126,'Input data (2)'!$BL$1-$D12,0),IF(AND('Input data (2)'!$C$2=3,$C12&gt;=0),OFFSET('Input data (2)'!X$126,'Input data (2)'!$BL$1-$C12,0),IF(AND('Input data (2)'!$C$2=2,$B12&gt;=0),OFFSET('Input data (2)'!X$126,'Input data (2)'!$BL$1-$B12,0),IF(AND('Input data (2)'!$C$2=1,$A12&gt;=0),OFFSET('Input data (2)'!X$126,'Input data (2)'!$BL$1-$A12,0),""))))</f>
        <v>24.008637612877894</v>
      </c>
      <c r="AG25" s="1">
        <f ca="1">IF(AND('Input data (2)'!$C$2=4,$D12&gt;=0),OFFSET('Input data (2)'!Y$126,'Input data (2)'!$BL$1-$D12,0),IF(AND('Input data (2)'!$C$2=3,$C12&gt;=0),OFFSET('Input data (2)'!Y$126,'Input data (2)'!$BL$1-$C12,0),IF(AND('Input data (2)'!$C$2=2,$B12&gt;=0),OFFSET('Input data (2)'!Y$126,'Input data (2)'!$BL$1-$B12,0),IF(AND('Input data (2)'!$C$2=1,$A12&gt;=0),OFFSET('Input data (2)'!Y$126,'Input data (2)'!$BL$1-$A12,0),""))))</f>
        <v>7742</v>
      </c>
      <c r="AH25" s="1">
        <f ca="1">IF(AND('Input data (2)'!$C$2=4,$D12&gt;=0),OFFSET('Input data (2)'!Z$126,'Input data (2)'!$BL$1-$D12,0),IF(AND('Input data (2)'!$C$2=3,$C12&gt;=0),OFFSET('Input data (2)'!Z$126,'Input data (2)'!$BL$1-$C12,0),IF(AND('Input data (2)'!$C$2=2,$B12&gt;=0),OFFSET('Input data (2)'!Z$126,'Input data (2)'!$BL$1-$B12,0),IF(AND('Input data (2)'!$C$2=1,$A12&gt;=0),OFFSET('Input data (2)'!Z$126,'Input data (2)'!$BL$1-$A12,0),""))))</f>
        <v>75.991362387122109</v>
      </c>
      <c r="AI25" s="3"/>
      <c r="AJ25" s="124">
        <f ca="1">IF(AND('Input data (2)'!$C$2=4,$D12&gt;=0),OFFSET('Input data (2)'!AF$126,'Input data (2)'!$BL$1-$D12,0),IF(AND('Input data (2)'!$C$2=3,$C12&gt;=0),OFFSET('Input data (2)'!AF$126,'Input data (2)'!$BL$1-$C12,0),IF(AND('Input data (2)'!$C$2=2,$B12&gt;=0),OFFSET('Input data (2)'!AF$126,'Input data (2)'!$BL$1-$B12,0),IF(AND('Input data (2)'!$C$2=1,$A12&gt;=0),OFFSET('Input data (2)'!AF$126,'Input data (2)'!$BL$1-$A12,0),""))))</f>
        <v>1430</v>
      </c>
      <c r="AK25" s="124">
        <f ca="1">IF(AND('Input data (2)'!$C$2=4,$D12&gt;=0),OFFSET('Input data (2)'!AD$126,'Input data (2)'!$BL$1-$D12,0),IF(AND('Input data (2)'!$C$2=3,$C12&gt;=0),OFFSET('Input data (2)'!AD$126,'Input data (2)'!$BL$1-$C12,0),IF(AND('Input data (2)'!$C$2=2,$B12&gt;=0),OFFSET('Input data (2)'!AD$126,'Input data (2)'!$BL$1-$B12,0),IF(AND('Input data (2)'!$C$2=1,$A12&gt;=0),OFFSET('Input data (2)'!AD$126,'Input data (2)'!$BL$1-$A12,0),""))))</f>
        <v>25</v>
      </c>
      <c r="AL25" s="124">
        <f ca="1">IF(AND('Input data (2)'!$C$2=4,$D12&gt;=0),OFFSET('Input data (2)'!AE$126,'Input data (2)'!$BL$1-$D12,0),IF(AND('Input data (2)'!$C$2=3,$C12&gt;=0),OFFSET('Input data (2)'!AE$126,'Input data (2)'!$BL$1-$C12,0),IF(AND('Input data (2)'!$C$2=2,$B12&gt;=0),OFFSET('Input data (2)'!AE$126,'Input data (2)'!$BL$1-$B12,0),IF(AND('Input data (2)'!$C$2=1,$A12&gt;=0),OFFSET('Input data (2)'!AE$126,'Input data (2)'!$BL$1-$A12,0),""))))</f>
        <v>1405</v>
      </c>
      <c r="AW25" s="1">
        <f ca="1">IF(AND('Input data (2)'!$C$2=4,$D12&gt;=0),OFFSET('Input data (2)'!L$126,'Input data (2)'!$BL$1-$D12,0),IF(AND('Input data (2)'!$C$2=3,$C12&gt;=0),OFFSET('Input data (2)'!L$126,'Input data (2)'!$BL$1-$C12,0),IF(AND('Input data (2)'!$C$2=2,$B12&gt;=0),OFFSET('Input data (2)'!L$126,'Input data (2)'!$BL$1-$B12,0),IF(AND('Input data (2)'!$C$2=1,$A12&gt;=0),OFFSET('Input data (2)'!L$126,'Input data (2)'!$BL$1-$A12,0),""))))</f>
        <v>114</v>
      </c>
      <c r="AX25" s="1">
        <f ca="1">IF(AND('Input data (2)'!$C$2=4,$D12&gt;=0),OFFSET('Input data (2)'!M$126,'Input data (2)'!$BL$1-$D12,0),IF(AND('Input data (2)'!$C$2=3,$C12&gt;=0),OFFSET('Input data (2)'!M$126,'Input data (2)'!$BL$1-$C12,0),IF(AND('Input data (2)'!$C$2=2,$B12&gt;=0),OFFSET('Input data (2)'!M$126,'Input data (2)'!$BL$1-$B12,0),IF(AND('Input data (2)'!$C$2=1,$A12&gt;=0),OFFSET('Input data (2)'!M$126,'Input data (2)'!$BL$1-$A12,0),""))))</f>
        <v>0</v>
      </c>
      <c r="AY25" s="1">
        <f ca="1">IF(AND('Input data (2)'!$C$2=4,$D12&gt;=0),OFFSET('Input data (2)'!N$126,'Input data (2)'!$BL$1-$D12,0),IF(AND('Input data (2)'!$C$2=3,$C12&gt;=0),OFFSET('Input data (2)'!N$126,'Input data (2)'!$BL$1-$C12,0),IF(AND('Input data (2)'!$C$2=2,$B12&gt;=0),OFFSET('Input data (2)'!N$126,'Input data (2)'!$BL$1-$B12,0),IF(AND('Input data (2)'!$C$2=1,$A12&gt;=0),OFFSET('Input data (2)'!N$126,'Input data (2)'!$BL$1-$A12,0),""))))</f>
        <v>489</v>
      </c>
      <c r="AZ25" s="1">
        <f ca="1">IF(AND('Input data (2)'!$C$2=4,$D12&gt;=0),OFFSET('Input data (2)'!P$126,'Input data (2)'!$BL$1-$D12,0),IF(AND('Input data (2)'!$C$2=3,$C12&gt;=0),OFFSET('Input data (2)'!P$126,'Input data (2)'!$BL$1-$C12,0),IF(AND('Input data (2)'!$C$2=2,$B12&gt;=0),OFFSET('Input data (2)'!P$126,'Input data (2)'!$BL$1-$B12,0),IF(AND('Input data (2)'!$C$2=1,$A12&gt;=0),OFFSET('Input data (2)'!P$126,'Input data (2)'!$BL$1-$A12,0),""))))</f>
        <v>179</v>
      </c>
      <c r="BB25" s="1">
        <f ca="1">IF(AND('Input data (2)'!$C$2=4,$D12&gt;=0),OFFSET('Input data (2)'!BB$126,'Input data (2)'!$BL$1-$D12,0),IF(AND('Input data (2)'!$C$2=3,$C12&gt;=0),OFFSET('Input data (2)'!BB$126,'Input data (2)'!$BL$1-$C12,0),IF(AND('Input data (2)'!$C$2=2,$B12&gt;=0),OFFSET('Input data (2)'!BB$126,'Input data (2)'!$BL$1-$B12,0),IF(AND('Input data (2)'!$C$2=1,$A12&gt;=0),OFFSET('Input data (2)'!BB$126,'Input data (2)'!$BL$1-$A12,0),""))))</f>
        <v>2462</v>
      </c>
      <c r="BC25" s="1">
        <f ca="1">IF(AND('Input data (2)'!$C$2=4,$D12&gt;=0),OFFSET('Input data (2)'!AY$126,'Input data (2)'!$BL$1-$D12,0),IF(AND('Input data (2)'!$C$2=3,$C12&gt;=0),OFFSET('Input data (2)'!AY$126,'Input data (2)'!$BL$1-$C12,0),IF(AND('Input data (2)'!$C$2=2,$B12&gt;=0),OFFSET('Input data (2)'!AY$126,'Input data (2)'!$BL$1-$B12,0),IF(AND('Input data (2)'!$C$2=1,$A12&gt;=0),OFFSET('Input data (2)'!AY$126,'Input data (2)'!$BL$1-$A12,0),""))))</f>
        <v>908</v>
      </c>
      <c r="BD25" s="1" t="str">
        <f ca="1">IF(AND('Input data (2)'!$C$2=4,$D12&gt;=0),OFFSET('Input data (2)'!AZ$126,'Input data (2)'!$BL$1-$D12,0),IF(AND('Input data (2)'!$C$2=3,$C12&gt;=0),OFFSET('Input data (2)'!AZ$126,'Input data (2)'!$BL$1-$C12,0),IF(AND('Input data (2)'!$C$2=2,$B12&gt;=0),OFFSET('Input data (2)'!AZ$126,'Input data (2)'!$BL$1-$B12,0),IF(AND('Input data (2)'!$C$2=1,$A12&gt;=0),OFFSET('Input data (2)'!AZ$126,'Input data (2)'!$BL$1-$A12,0),""))))</f>
        <v>:</v>
      </c>
      <c r="BE25" s="1">
        <f ca="1">IF(AND('Input data (2)'!$C$2=4,$D12&gt;=0),OFFSET('Input data (2)'!BA$126,'Input data (2)'!$BL$1-$D12,0),IF(AND('Input data (2)'!$C$2=3,$C12&gt;=0),OFFSET('Input data (2)'!BA$126,'Input data (2)'!$BL$1-$C12,0),IF(AND('Input data (2)'!$C$2=2,$B12&gt;=0),OFFSET('Input data (2)'!BA$126,'Input data (2)'!$BL$1-$B12,0),IF(AND('Input data (2)'!$C$2=1,$A12&gt;=0),OFFSET('Input data (2)'!BA$126,'Input data (2)'!$BL$1-$A12,0),""))))</f>
        <v>1554</v>
      </c>
      <c r="BF25" s="1">
        <f ca="1">IF(AND('Input data (2)'!$C$2=4,$D12&gt;=0),OFFSET('Input data (2)'!AP$126,'Input data (2)'!$BL$1-$D12,0),IF(AND('Input data (2)'!$C$2=3,$C12&gt;=0),OFFSET('Input data (2)'!AP$126,'Input data (2)'!$BL$1-$C12,0),IF(AND('Input data (2)'!$C$2=2,$B12&gt;=0),OFFSET('Input data (2)'!AP$126,'Input data (2)'!$BL$1-$B12,0),IF(AND('Input data (2)'!$C$2=1,$A12&gt;=0),OFFSET('Input data (2)'!AP$126,'Input data (2)'!$BL$1-$A12,0),""))))</f>
        <v>140</v>
      </c>
      <c r="BG25" s="1">
        <f ca="1">IF(AND('Input data (2)'!$C$2=4,$D12&gt;=0),OFFSET('Input data (2)'!AN$126,'Input data (2)'!$BL$1-$D12,0),IF(AND('Input data (2)'!$C$2=3,$C12&gt;=0),OFFSET('Input data (2)'!AN$126,'Input data (2)'!$BL$1-$C12,0),IF(AND('Input data (2)'!$C$2=2,$B12&gt;=0),OFFSET('Input data (2)'!AN$126,'Input data (2)'!$BL$1-$B12,0),IF(AND('Input data (2)'!$C$2=1,$A12&gt;=0),OFFSET('Input data (2)'!AN$126,'Input data (2)'!$BL$1-$A12,0),""))))</f>
        <v>103</v>
      </c>
      <c r="BH25" s="1">
        <f ca="1">IF(AND('Input data (2)'!$C$2=4,$D12&gt;=0),OFFSET('Input data (2)'!AO$126,'Input data (2)'!$BL$1-$D12,0),IF(AND('Input data (2)'!$C$2=3,$C12&gt;=0),OFFSET('Input data (2)'!AO$126,'Input data (2)'!$BL$1-$C12,0),IF(AND('Input data (2)'!$C$2=2,$B12&gt;=0),OFFSET('Input data (2)'!AO$126,'Input data (2)'!$BL$1-$B12,0),IF(AND('Input data (2)'!$C$2=1,$A12&gt;=0),OFFSET('Input data (2)'!AO$126,'Input data (2)'!$BL$1-$A12,0),""))))</f>
        <v>37</v>
      </c>
      <c r="BJ25" s="1">
        <f ca="1">IF(AND('Input data (2)'!$C$2=4,$D12&gt;=0),OFFSET('Input data (2)'!AU$126,'Input data (2)'!$BL$1-$D12,0),IF(AND('Input data (2)'!$C$2=3,$C12&gt;=0),OFFSET('Input data (2)'!AU$126,'Input data (2)'!$BL$1-$C12,0),IF(AND('Input data (2)'!$C$2=2,$B12&gt;=0),OFFSET('Input data (2)'!AU$126,'Input data (2)'!$BL$1-$B12,0),IF(AND('Input data (2)'!$C$2=1,$A12&gt;=0),OFFSET('Input data (2)'!AU$126,'Input data (2)'!$BL$1-$A12,0),""))))</f>
        <v>27</v>
      </c>
      <c r="BK25" s="1">
        <f ca="1">IF(AND('Input data (2)'!$C$2=4,$D12&gt;=0),OFFSET('Input data (2)'!AV$126,'Input data (2)'!$BL$1-$D12,0),IF(AND('Input data (2)'!$C$2=3,$C12&gt;=0),OFFSET('Input data (2)'!AV$126,'Input data (2)'!$BL$1-$C12,0),IF(AND('Input data (2)'!$C$2=2,$B12&gt;=0),OFFSET('Input data (2)'!AV$126,'Input data (2)'!$BL$1-$B12,0),IF(AND('Input data (2)'!$C$2=1,$A12&gt;=0),OFFSET('Input data (2)'!AV$126,'Input data (2)'!$BL$1-$A12,0),""))))</f>
        <v>0</v>
      </c>
      <c r="BL25" s="1">
        <f ca="1">IF(AND('Input data (2)'!$C$2=4,$D12&gt;=0),OFFSET('Input data (2)'!AW$126,'Input data (2)'!$BL$1-$D12,0),IF(AND('Input data (2)'!$C$2=3,$C12&gt;=0),OFFSET('Input data (2)'!AW$126,'Input data (2)'!$BL$1-$C12,0),IF(AND('Input data (2)'!$C$2=2,$B12&gt;=0),OFFSET('Input data (2)'!AW$126,'Input data (2)'!$BL$1-$B12,0),IF(AND('Input data (2)'!$C$2=1,$A12&gt;=0),OFFSET('Input data (2)'!AW$126,'Input data (2)'!$BL$1-$A12,0),""))))</f>
        <v>8</v>
      </c>
      <c r="BM25" s="1">
        <f ca="1">IF(AND('Input data (2)'!$C$2=4,$D12&gt;=0),OFFSET('Input data (2)'!AX$126,'Input data (2)'!$BL$1-$D12,0),IF(AND('Input data (2)'!$C$2=3,$C12&gt;=0),OFFSET('Input data (2)'!AX$126,'Input data (2)'!$BL$1-$C12,0),IF(AND('Input data (2)'!$C$2=2,$B12&gt;=0),OFFSET('Input data (2)'!AX$126,'Input data (2)'!$BL$1-$B12,0),IF(AND('Input data (2)'!$C$2=1,$A12&gt;=0),OFFSET('Input data (2)'!AX$126,'Input data (2)'!$BL$1-$A12,0),""))))</f>
        <v>1</v>
      </c>
      <c r="BO25" s="1">
        <f ca="1">IF(AND('Input data (2)'!$C$2=4,$D12&gt;=0),OFFSET('Input data (2)'!BL$126,'Input data (2)'!$BL$1-$D12,0),IF(AND('Input data (2)'!$C$2=3,$C12&gt;=0),OFFSET('Input data (2)'!BL$126,'Input data (2)'!$BL$1-$C12,0),IF(AND('Input data (2)'!$C$2=2,$B12&gt;=0),OFFSET('Input data (2)'!BL$126,'Input data (2)'!$BL$1-$B12,0),IF(AND('Input data (2)'!$C$2=1,$A12&gt;=0),OFFSET('Input data (2)'!BL$126,'Input data (2)'!$BL$1-$A12,0),""))))</f>
        <v>302</v>
      </c>
      <c r="BP25" s="1">
        <f ca="1">IF(AND('Input data (2)'!$C$2=4,$D12&gt;=0),OFFSET('Input data (2)'!BI$126,'Input data (2)'!$BL$1-$D12,0),IF(AND('Input data (2)'!$C$2=3,$C12&gt;=0),OFFSET('Input data (2)'!BI$126,'Input data (2)'!$BL$1-$C12,0),IF(AND('Input data (2)'!$C$2=2,$B12&gt;=0),OFFSET('Input data (2)'!BI$126,'Input data (2)'!$BL$1-$B12,0),IF(AND('Input data (2)'!$C$2=1,$A12&gt;=0),OFFSET('Input data (2)'!BI$126,'Input data (2)'!$BL$1-$A12,0),""))))</f>
        <v>174</v>
      </c>
      <c r="BQ25" s="1" t="str">
        <f ca="1">IF(AND('Input data (2)'!$C$2=4,$D12&gt;=0),OFFSET('Input data (2)'!BK$126,'Input data (2)'!$BL$1-$D12,0),IF(AND('Input data (2)'!$C$2=3,$C12&gt;=0),OFFSET('Input data (2)'!BK$126,'Input data (2)'!$BL$1-$C12,0),IF(AND('Input data (2)'!$C$2=2,$B12&gt;=0),OFFSET('Input data (2)'!BK$126,'Input data (2)'!$BL$1-$B12,0),IF(AND('Input data (2)'!$C$2=1,$A12&gt;=0),OFFSET('Input data (2)'!BK$126,'Input data (2)'!$BL$1-$A12,0),""))))</f>
        <v>..</v>
      </c>
      <c r="BR25" s="1">
        <f ca="1">IF(AND('Input data (2)'!$C$2=4,$D12&gt;=0),OFFSET('Input data (2)'!BJ$126,'Input data (2)'!$BL$1-$D12,0),IF(AND('Input data (2)'!$C$2=3,$C12&gt;=0),OFFSET('Input data (2)'!BJ$126,'Input data (2)'!$BL$1-$C12,0),IF(AND('Input data (2)'!$C$2=2,$B12&gt;=0),OFFSET('Input data (2)'!BJ$126,'Input data (2)'!$BL$1-$B12,0),IF(AND('Input data (2)'!$C$2=1,$A12&gt;=0),OFFSET('Input data (2)'!BJ$126,'Input data (2)'!$BL$1-$A12,0),""))))</f>
        <v>128</v>
      </c>
      <c r="BS25" s="1">
        <f ca="1">IF(AND('Input data (2)'!$C$2=4,$D12&gt;=0),OFFSET('Input data (2)'!BF$126,'Input data (2)'!$BL$1-$D12,0),IF(AND('Input data (2)'!$C$2=3,$C12&gt;=0),OFFSET('Input data (2)'!BF$126,'Input data (2)'!$BL$1-$C12,0),IF(AND('Input data (2)'!$C$2=2,$B12&gt;=0),OFFSET('Input data (2)'!BF$126,'Input data (2)'!$BL$1-$B12,0),IF(AND('Input data (2)'!$C$2=1,$A12&gt;=0),OFFSET('Input data (2)'!BF$126,'Input data (2)'!$BL$1-$A12,0),""))))</f>
        <v>29</v>
      </c>
      <c r="BT25" s="1">
        <f ca="1">IF(AND('Input data (2)'!$C$2=4,$D12&gt;=0),OFFSET('Input data (2)'!BD$126,'Input data (2)'!$BL$1-$D12,0),IF(AND('Input data (2)'!$C$2=3,$C12&gt;=0),OFFSET('Input data (2)'!BD$126,'Input data (2)'!$BL$1-$C12,0),IF(AND('Input data (2)'!$C$2=2,$B12&gt;=0),OFFSET('Input data (2)'!BD$126,'Input data (2)'!$BL$1-$B12,0),IF(AND('Input data (2)'!$C$2=1,$A12&gt;=0),OFFSET('Input data (2)'!BD$126,'Input data (2)'!$BL$1-$A12,0),""))))</f>
        <v>15</v>
      </c>
      <c r="BU25" s="1">
        <f ca="1">IF(AND('Input data (2)'!$C$2=4,$D12&gt;=0),OFFSET('Input data (2)'!BE$126,'Input data (2)'!$BL$1-$D12,0),IF(AND('Input data (2)'!$C$2=3,$C12&gt;=0),OFFSET('Input data (2)'!BE$126,'Input data (2)'!$BL$1-$C12,0),IF(AND('Input data (2)'!$C$2=2,$B12&gt;=0),OFFSET('Input data (2)'!BE$126,'Input data (2)'!$BL$1-$B12,0),IF(AND('Input data (2)'!$C$2=1,$A12&gt;=0),OFFSET('Input data (2)'!BE$126,'Input data (2)'!$BL$1-$A12,0),""))))</f>
        <v>14</v>
      </c>
      <c r="BW25" s="7">
        <f ca="1">IF(AND('Input data (2)'!$C$2=4,$D12&gt;=0),OFFSET('Input data (2)'!J$126,'Input data (2)'!$BL$1-$D12,0),IF(AND('Input data (2)'!$C$2=3,$C12&gt;=0),OFFSET('Input data (2)'!J$126,'Input data (2)'!$BL$1-$C12,0),IF(AND('Input data (2)'!$C$2=2,$B12&gt;=0),OFFSET('Input data (2)'!J$126,'Input data (2)'!$BL$1-$B12,0),IF(AND('Input data (2)'!$C$2=1,$A12&gt;=0),OFFSET('Input data (2)'!J$126,'Input data (2)'!$BL$1-$A12,0),""))))</f>
        <v>0.68180107964759951</v>
      </c>
      <c r="BX25" s="7">
        <f ca="1">IF(AND('Input data (2)'!$C$2=4,$D12&gt;=0),OFFSET('Input data (2)'!K$126,'Input data (2)'!$BL$1-$D12,0),IF(AND('Input data (2)'!$C$2=3,$C12&gt;=0),OFFSET('Input data (2)'!K$126,'Input data (2)'!$BL$1-$C12,0),IF(AND('Input data (2)'!$C$2=2,$B12&gt;=0),OFFSET('Input data (2)'!K$126,'Input data (2)'!$BL$1-$B12,0),IF(AND('Input data (2)'!$C$2=1,$A12&gt;=0),OFFSET('Input data (2)'!K$126,'Input data (2)'!$BL$1-$A12,0),""))))</f>
        <v>0.62312497987250892</v>
      </c>
      <c r="BY25" s="7">
        <f ca="1">IF(AND('Input data (2)'!$C$2=4,$D12&gt;=0),OFFSET('Input data (2)'!AS$126,'Input data (2)'!$BL$1-$D12,0),IF(AND('Input data (2)'!$C$2=3,$C12&gt;=0),OFFSET('Input data (2)'!AS$126,'Input data (2)'!$BL$1-$C12,0),IF(AND('Input data (2)'!$C$2=2,$B12&gt;=0),OFFSET('Input data (2)'!AS$126,'Input data (2)'!$BL$1-$B12,0),IF(AND('Input data (2)'!$C$2=1,$A12&gt;=0),OFFSET('Input data (2)'!AS$126,'Input data (2)'!$BL$1-$A12,0),""))))</f>
        <v>0.59163100480230679</v>
      </c>
      <c r="BZ25" s="7">
        <f ca="1">IF(AND('Input data (2)'!$C$2=4,$D12&gt;=0),OFFSET('Input data (2)'!AT$126,'Input data (2)'!$BL$1-$D12,0),IF(AND('Input data (2)'!$C$2=3,$C12&gt;=0),OFFSET('Input data (2)'!AT$126,'Input data (2)'!$BL$1-$C12,0),IF(AND('Input data (2)'!$C$2=2,$B12&gt;=0),OFFSET('Input data (2)'!AT$126,'Input data (2)'!$BL$1-$B12,0),IF(AND('Input data (2)'!$C$2=1,$A12&gt;=0),OFFSET('Input data (2)'!AT$126,'Input data (2)'!$BL$1-$A12,0),""))))</f>
        <v>0.54312300641809708</v>
      </c>
      <c r="CB25" s="122"/>
      <c r="CC25" s="122"/>
      <c r="CD25" s="122"/>
      <c r="CE25" s="122"/>
      <c r="CG25" s="1">
        <v>19</v>
      </c>
      <c r="CI25" s="1">
        <f t="shared" ca="1" si="24"/>
        <v>2008</v>
      </c>
      <c r="CJ25" s="1" t="str">
        <f t="shared" si="25"/>
        <v>Q3</v>
      </c>
      <c r="CK25" s="1" t="str">
        <f t="shared" ca="1" si="12"/>
        <v>08</v>
      </c>
      <c r="CL25" s="1" t="str">
        <f t="shared" ca="1" si="13"/>
        <v>Q3 08</v>
      </c>
      <c r="CM25" s="1">
        <f ca="1">OFFSET('Input data (2)'!AJ$126,'Input data (2)'!$BL$1-'Output data - DO NOT TOUCH (2)'!$CG25,0)/1000</f>
        <v>17.474</v>
      </c>
      <c r="CN25" s="1">
        <f ca="1">OFFSET('Input data (2)'!AK$126,'Input data (2)'!$BL$1-'Output data - DO NOT TOUCH (2)'!$CG25,0)/1000</f>
        <v>9.8019999999999996</v>
      </c>
      <c r="CO25" s="1">
        <f ca="1">OFFSET('Input data (2)'!AL$126,'Input data (2)'!$BL$1-'Output data - DO NOT TOUCH (2)'!$CG25,0)/1000</f>
        <v>27.276</v>
      </c>
      <c r="CP25" s="1"/>
      <c r="CQ25" s="1">
        <f ca="1">OFFSET('Input data (2)'!AG$126,'Input data (2)'!$BL$1-'Output data - DO NOT TOUCH (2)'!$CG25,0)/1000</f>
        <v>1.5369999999999999</v>
      </c>
      <c r="CR25" s="1">
        <f ca="1">OFFSET('Input data (2)'!AH$126,'Input data (2)'!$BL$1-'Output data - DO NOT TOUCH (2)'!$CG25,0)/1000</f>
        <v>2.6150000000000002</v>
      </c>
      <c r="CS25" s="1">
        <f ca="1">OFFSET('Input data (2)'!AI$126,'Input data (2)'!$BL$1-'Output data - DO NOT TOUCH (2)'!$CG25,0)/1000</f>
        <v>4.1520000000000001</v>
      </c>
      <c r="CT25" s="1"/>
      <c r="CU25" s="1">
        <f ca="1">OFFSET('Input data (2)'!L$126,'Input data (2)'!$BL$1-'Output data - DO NOT TOUCH (2)'!$CG25,0)</f>
        <v>270</v>
      </c>
      <c r="CV25" s="1">
        <f ca="1">OFFSET('Input data (2)'!M$126,'Input data (2)'!$BL$1-'Output data - DO NOT TOUCH (2)'!$CG25,0)</f>
        <v>1</v>
      </c>
      <c r="CW25" s="67">
        <f ca="1">OFFSET('Input data (2)'!N$126,'Input data (2)'!$BL$1-'Output data - DO NOT TOUCH (2)'!$CG25,0)</f>
        <v>1006</v>
      </c>
      <c r="CX25" s="1">
        <f ca="1">OFFSET('Input data (2)'!P$126,'Input data (2)'!$BL$1-'Output data - DO NOT TOUCH (2)'!$CG25,0)</f>
        <v>167</v>
      </c>
      <c r="CY25" s="1"/>
      <c r="CZ25" s="1">
        <f ca="1">OFFSET('Input data (2)'!AY$126,'Input data (2)'!$BL$1-'Output data - DO NOT TOUCH (2)'!$CG25,0)/1000</f>
        <v>4.077</v>
      </c>
      <c r="DA25" s="1">
        <f ca="1">OFFSET('Input data (2)'!BA$126,'Input data (2)'!$BL$1-'Output data - DO NOT TOUCH (2)'!$CG25,0)/1000</f>
        <v>1.9430000000000001</v>
      </c>
      <c r="DB25" s="1">
        <f ca="1">OFFSET('Input data (2)'!BB$126,'Input data (2)'!$BL$1-'Output data - DO NOT TOUCH (2)'!$CG25,0)/1000</f>
        <v>6.02</v>
      </c>
      <c r="DD25" s="1">
        <f ca="1">OFFSET('Input data (2)'!AN$126,'Input data (2)'!$BL$1-'Output data - DO NOT TOUCH (2)'!$CG25,0)</f>
        <v>111</v>
      </c>
      <c r="DE25" s="1">
        <f ca="1">OFFSET('Input data (2)'!AO$126,'Input data (2)'!$BL$1-'Output data - DO NOT TOUCH (2)'!$CG25,0)</f>
        <v>16</v>
      </c>
      <c r="DF25" s="1">
        <f ca="1">OFFSET('Input data (2)'!AP$126,'Input data (2)'!$BL$1-'Output data - DO NOT TOUCH (2)'!$CG25,0)</f>
        <v>127</v>
      </c>
      <c r="DG25" s="1"/>
      <c r="DH25" s="1">
        <f ca="1">OFFSET('Input data (2)'!AU$126,'Input data (2)'!$BL$1-'Output data - DO NOT TOUCH (2)'!$CG25,0)</f>
        <v>43</v>
      </c>
      <c r="DI25" s="1">
        <f ca="1">OFFSET('Input data (2)'!AV$126,'Input data (2)'!$BL$1-'Output data - DO NOT TOUCH (2)'!$CG25,0)</f>
        <v>0</v>
      </c>
      <c r="DJ25" s="1">
        <f ca="1">OFFSET('Input data (2)'!AW$126,'Input data (2)'!$BL$1-'Output data - DO NOT TOUCH (2)'!$CG25,0)</f>
        <v>21</v>
      </c>
      <c r="DK25" s="1">
        <f ca="1">OFFSET('Input data (2)'!AX$126,'Input data (2)'!$BL$1-'Output data - DO NOT TOUCH (2)'!$CG25,0)</f>
        <v>0</v>
      </c>
      <c r="DM25" s="1">
        <f ca="1">OFFSET('Input data (2)'!BI$126,'Input data (2)'!$BL$1-'Output data - DO NOT TOUCH (2)'!$CG25,0)</f>
        <v>229</v>
      </c>
      <c r="DN25" s="1">
        <f ca="1">OFFSET('Input data (2)'!BJ$126,'Input data (2)'!$BL$1-'Output data - DO NOT TOUCH (2)'!$CG25,0)</f>
        <v>157</v>
      </c>
      <c r="DO25" s="1">
        <f ca="1">OFFSET('Input data (2)'!BL$126,'Input data (2)'!$BL$1-'Output data - DO NOT TOUCH (2)'!$CG25,0)</f>
        <v>386</v>
      </c>
      <c r="DQ25" s="1">
        <f ca="1">OFFSET('Input data (2)'!BD$126,'Input data (2)'!$BL$1-'Output data - DO NOT TOUCH (2)'!$CG25,0)</f>
        <v>27</v>
      </c>
      <c r="DR25" s="1">
        <f ca="1">OFFSET('Input data (2)'!BE$126,'Input data (2)'!$BL$1-'Output data - DO NOT TOUCH (2)'!$CG25,0)</f>
        <v>17</v>
      </c>
      <c r="DS25" s="1">
        <f ca="1">OFFSET('Input data (2)'!BF$126,'Input data (2)'!$BL$1-'Output data - DO NOT TOUCH (2)'!$CG25,0)</f>
        <v>44</v>
      </c>
      <c r="DU25" s="1">
        <f ca="1">OFFSET('Input data (2)'!B$126,'Input data (2)'!$BL$1-'Output data - DO NOT TOUCH (2)'!$CG25-1,0)</f>
        <v>2008</v>
      </c>
      <c r="DV25" s="1" t="str">
        <f ca="1">OFFSET('Input data (2)'!C$126,'Input data (2)'!$BL$1-'Output data - DO NOT TOUCH (2)'!$CG25-1,0)</f>
        <v>Q2</v>
      </c>
      <c r="DW25" s="1" t="str">
        <f t="shared" ca="1" si="14"/>
        <v>08</v>
      </c>
      <c r="DX25" s="1" t="str">
        <f t="shared" ca="1" si="15"/>
        <v>Q2 08</v>
      </c>
      <c r="DY25" s="1">
        <f ca="1">OFFSET('Input data (2)'!W$126,'Input data (2)'!$BL$1-'Output data - DO NOT TOUCH (2)'!$CG25-1,0)/1000</f>
        <v>1.8280000000000001</v>
      </c>
      <c r="DZ25" s="1">
        <f ca="1">OFFSET('Input data (2)'!Y$126,'Input data (2)'!$BL$1-'Output data - DO NOT TOUCH (2)'!$CG25-1,0)/1000</f>
        <v>14.545</v>
      </c>
      <c r="EA25" s="1">
        <f ca="1">OFFSET('Input data (2)'!Q$126,'Input data (2)'!$BL$1-'Output data - DO NOT TOUCH (2)'!$CG25-1,0)/1000</f>
        <v>16.373000000000001</v>
      </c>
    </row>
    <row r="26" spans="1:140" x14ac:dyDescent="0.15">
      <c r="A26" s="1">
        <v>18</v>
      </c>
      <c r="B26" s="1">
        <v>19</v>
      </c>
      <c r="C26" s="1">
        <v>20</v>
      </c>
      <c r="D26" s="1">
        <v>17</v>
      </c>
      <c r="E26" s="1" t="str">
        <f>F26&amp;G26</f>
        <v>2005Q2</v>
      </c>
      <c r="F26" s="1">
        <f>F21+1</f>
        <v>2005</v>
      </c>
      <c r="G26" s="1" t="s">
        <v>2</v>
      </c>
      <c r="H26" s="1">
        <f>VLOOKUP($E26,'Input data (2)'!$A:$BL,'Output data - DO NOT TOUCH (2)'!H$71,FALSE)</f>
        <v>3407</v>
      </c>
      <c r="I26" s="1">
        <f>VLOOKUP($E26,'Input data (2)'!$A:$BL,'Output data - DO NOT TOUCH (2)'!I$71,FALSE)</f>
        <v>1422</v>
      </c>
      <c r="J26" s="1">
        <f>VLOOKUP($E26,'Input data (2)'!$A:$BL,'Output data - DO NOT TOUCH (2)'!J$71,FALSE)</f>
        <v>1985</v>
      </c>
      <c r="K26" s="1">
        <f>VLOOKUP($E26,'Input data (2)'!$A:$BL,'Output data - DO NOT TOUCH (2)'!K$71,FALSE)</f>
        <v>3230</v>
      </c>
      <c r="L26" s="1">
        <f>VLOOKUP($E26,'Input data (2)'!$A:$BL,'Output data - DO NOT TOUCH (2)'!L$71,FALSE)</f>
        <v>1270</v>
      </c>
      <c r="M26" s="1">
        <f>VLOOKUP($E26,'Input data (2)'!$A:$BL,'Output data - DO NOT TOUCH (2)'!M$71,FALSE)</f>
        <v>1960</v>
      </c>
      <c r="O26" s="119">
        <f ca="1">IF(AND('Input data (2)'!$C$2=4,$D13&gt;=0),OFFSET('Input data (2)'!O$126,'Input data (2)'!$BL$1-$D13,0),IF(AND('Input data (2)'!$C$2=3,$C13&gt;=0),OFFSET('Input data (2)'!O$126,'Input data (2)'!$BL$1-$C13,0),IF(AND('Input data (2)'!$C$2=2,$B13&gt;=0),OFFSET('Input data (2)'!O$126,'Input data (2)'!$BL$1-$B13,0),IF(AND('Input data (2)'!$C$2=1,$A13&gt;=0),OFFSET('Input data (2)'!O$126,'Input data (2)'!$BL$1-$A13,0),""))))</f>
        <v>147</v>
      </c>
      <c r="Q26" s="1">
        <f ca="1">IF(AND('Input data (2)'!$C$2=4,$D13&gt;=0),OFFSET('Input data (2)'!AC$126,'Input data (2)'!$BL$1-$D13,0),IF(AND('Input data (2)'!$C$2=3,$C13&gt;=0),OFFSET('Input data (2)'!AC$126,'Input data (2)'!$BL$1-$C13,0),IF(AND('Input data (2)'!$C$2=2,$B13&gt;=0),OFFSET('Input data (2)'!AC$126,'Input data (2)'!$BL$1-$B13,0),IF(AND('Input data (2)'!$C$2=1,$A13&gt;=0),OFFSET('Input data (2)'!AC$126,'Input data (2)'!$BL$1-$A13,0),""))))</f>
        <v>16873</v>
      </c>
      <c r="R26" s="1">
        <f ca="1">IF(AND('Input data (2)'!$C$2=4,$D13&gt;=0),OFFSET('Input data (2)'!Q$126,'Input data (2)'!$BL$1-$D13,0),IF(AND('Input data (2)'!$C$2=3,$C13&gt;=0),OFFSET('Input data (2)'!Q$126,'Input data (2)'!$BL$1-$C13,0),IF(AND('Input data (2)'!$C$2=2,$B13&gt;=0),OFFSET('Input data (2)'!Q$126,'Input data (2)'!$BL$1-$B13,0),IF(AND('Input data (2)'!$C$2=1,$A13&gt;=0),OFFSET('Input data (2)'!Q$126,'Input data (2)'!$BL$1-$A13,0),""))))</f>
        <v>12338</v>
      </c>
      <c r="S26" s="1" t="str">
        <f ca="1">IF(AND('Input data (2)'!$C$2=4,$D13&gt;=0),OFFSET('Input data (2)'!R$126,'Input data (2)'!$BL$1-$D13,0),IF(AND('Input data (2)'!$C$2=3,$C13&gt;=0),OFFSET('Input data (2)'!R$126,'Input data (2)'!$BL$1-$C13,0),IF(AND('Input data (2)'!$C$2=2,$B13&gt;=0),OFFSET('Input data (2)'!R$126,'Input data (2)'!$BL$1-$B13,0),IF(AND('Input data (2)'!$C$2=1,$A13&gt;=0),OFFSET('Input data (2)'!R$126,'Input data (2)'!$BL$1-$A13,0),""))))</f>
        <v>:</v>
      </c>
      <c r="T26" s="1">
        <f ca="1">IF(AND('Input data (2)'!$C$2=4,$D13&gt;=0),OFFSET('Input data (2)'!AA$126,'Input data (2)'!$BL$1-$D13,0),IF(AND('Input data (2)'!$C$2=3,$C13&gt;=0),OFFSET('Input data (2)'!AA$126,'Input data (2)'!$BL$1-$C13,0),IF(AND('Input data (2)'!$C$2=2,$B13&gt;=0),OFFSET('Input data (2)'!AA$126,'Input data (2)'!$BL$1-$B13,0),IF(AND('Input data (2)'!$C$2=1,$A13&gt;=0),OFFSET('Input data (2)'!AA$126,'Input data (2)'!$BL$1-$A13,0),""))))</f>
        <v>4535</v>
      </c>
      <c r="U26" s="1">
        <f ca="1">IF(AND('Input data (2)'!$C$2=4,$D13&gt;=0),OFFSET('Input data (2)'!AL$126,'Input data (2)'!$BL$1-$D13,0),IF(AND('Input data (2)'!$C$2=3,$C13&gt;=0),OFFSET('Input data (2)'!AL$126,'Input data (2)'!$BL$1-$C13,0),IF(AND('Input data (2)'!$C$2=2,$B13&gt;=0),OFFSET('Input data (2)'!AL$126,'Input data (2)'!$BL$1-$B13,0),IF(AND('Input data (2)'!$C$2=1,$A13&gt;=0),OFFSET('Input data (2)'!AL$126,'Input data (2)'!$BL$1-$A13,0),""))))</f>
        <v>15883</v>
      </c>
      <c r="V26" s="1">
        <f ca="1">IF(AND('Input data (2)'!$C$2=4,$D13&gt;=0),OFFSET('Input data (2)'!AJ$126,'Input data (2)'!$BL$1-$D13,0),IF(AND('Input data (2)'!$C$2=3,$C13&gt;=0),OFFSET('Input data (2)'!AJ$126,'Input data (2)'!$BL$1-$C13,0),IF(AND('Input data (2)'!$C$2=2,$B13&gt;=0),OFFSET('Input data (2)'!AJ$126,'Input data (2)'!$BL$1-$B13,0),IF(AND('Input data (2)'!$C$2=1,$A13&gt;=0),OFFSET('Input data (2)'!AJ$126,'Input data (2)'!$BL$1-$A13,0),""))))</f>
        <v>11424</v>
      </c>
      <c r="W26" s="1">
        <f ca="1">IF(AND('Input data (2)'!$C$2=4,$D13&gt;=0),OFFSET('Input data (2)'!AK$126,'Input data (2)'!$BL$1-$D13,0),IF(AND('Input data (2)'!$C$2=3,$C13&gt;=0),OFFSET('Input data (2)'!AK$126,'Input data (2)'!$BL$1-$C13,0),IF(AND('Input data (2)'!$C$2=2,$B13&gt;=0),OFFSET('Input data (2)'!AK$126,'Input data (2)'!$BL$1-$B13,0),IF(AND('Input data (2)'!$C$2=1,$A13&gt;=0),OFFSET('Input data (2)'!AK$126,'Input data (2)'!$BL$1-$A13,0),""))))</f>
        <v>4459</v>
      </c>
      <c r="Y26" s="1">
        <f ca="1">IF(AND('Input data (2)'!$C$2=4,$D13&gt;=0),OFFSET('Input data (2)'!Q$126,'Input data (2)'!$BL$1-$D13,0),IF(AND('Input data (2)'!$C$2=3,$C13&gt;=0),OFFSET('Input data (2)'!Q$126,'Input data (2)'!$BL$1-$C13,0),IF(AND('Input data (2)'!$C$2=2,$B13&gt;=0),OFFSET('Input data (2)'!Q$126,'Input data (2)'!$BL$1-$B13,0),IF(AND('Input data (2)'!$C$2=1,$A13&gt;=0),OFFSET('Input data (2)'!Q$126,'Input data (2)'!$BL$1-$A13,0),""))))</f>
        <v>12338</v>
      </c>
      <c r="Z26" s="1">
        <f ca="1">IF(AND('Input data (2)'!$C$2=4,$D13&gt;=0),OFFSET('Input data (2)'!S$126,'Input data (2)'!$BL$1-$D13,0),IF(AND('Input data (2)'!$C$2=3,$C13&gt;=0),OFFSET('Input data (2)'!S$126,'Input data (2)'!$BL$1-$C13,0),IF(AND('Input data (2)'!$C$2=2,$B13&gt;=0),OFFSET('Input data (2)'!S$126,'Input data (2)'!$BL$1-$B13,0),IF(AND('Input data (2)'!$C$2=1,$A13&gt;=0),OFFSET('Input data (2)'!S$126,'Input data (2)'!$BL$1-$A13,0),""))))</f>
        <v>9840</v>
      </c>
      <c r="AA26" s="1">
        <f ca="1">IF(AND('Input data (2)'!$C$2=4,$D13&gt;=0),OFFSET('Input data (2)'!T$126,'Input data (2)'!$BL$1-$D13,0),IF(AND('Input data (2)'!$C$2=3,$C13&gt;=0),OFFSET('Input data (2)'!T$126,'Input data (2)'!$BL$1-$C13,0),IF(AND('Input data (2)'!$C$2=2,$B13&gt;=0),OFFSET('Input data (2)'!T$126,'Input data (2)'!$BL$1-$B13,0),IF(AND('Input data (2)'!$C$2=1,$A13&gt;=0),OFFSET('Input data (2)'!T$126,'Input data (2)'!$BL$1-$A13,0),""))))</f>
        <v>79.753606743394386</v>
      </c>
      <c r="AB26" s="1">
        <f ca="1">IF(AND('Input data (2)'!$C$2=4,$D13&gt;=0),OFFSET('Input data (2)'!U$126,'Input data (2)'!$BL$1-$D13,0),IF(AND('Input data (2)'!$C$2=3,$C13&gt;=0),OFFSET('Input data (2)'!U$126,'Input data (2)'!$BL$1-$C13,0),IF(AND('Input data (2)'!$C$2=2,$B13&gt;=0),OFFSET('Input data (2)'!U$126,'Input data (2)'!$BL$1-$B13,0),IF(AND('Input data (2)'!$C$2=1,$A13&gt;=0),OFFSET('Input data (2)'!U$126,'Input data (2)'!$BL$1-$A13,0),""))))</f>
        <v>2498</v>
      </c>
      <c r="AC26" s="1">
        <f ca="1">IF(AND('Input data (2)'!$C$2=4,$D13&gt;=0),OFFSET('Input data (2)'!V$126,'Input data (2)'!$BL$1-$D13,0),IF(AND('Input data (2)'!$C$2=3,$C13&gt;=0),OFFSET('Input data (2)'!V$126,'Input data (2)'!$BL$1-$C13,0),IF(AND('Input data (2)'!$C$2=2,$B13&gt;=0),OFFSET('Input data (2)'!V$126,'Input data (2)'!$BL$1-$B13,0),IF(AND('Input data (2)'!$C$2=1,$A13&gt;=0),OFFSET('Input data (2)'!V$126,'Input data (2)'!$BL$1-$A13,0),""))))</f>
        <v>20.246393256605607</v>
      </c>
      <c r="AD26" s="1">
        <f ca="1">IF(AND('Input data (2)'!$C$2=4,$D13&gt;=0),OFFSET('Input data (2)'!Q$126,'Input data (2)'!$BL$1-$D13,0),IF(AND('Input data (2)'!$C$2=3,$C13&gt;=0),OFFSET('Input data (2)'!Q$126,'Input data (2)'!$BL$1-$C13,0),IF(AND('Input data (2)'!$C$2=2,$B13&gt;=0),OFFSET('Input data (2)'!Q$126,'Input data (2)'!$BL$1-$B13,0),IF(AND('Input data (2)'!$C$2=1,$A13&gt;=0),OFFSET('Input data (2)'!Q$126,'Input data (2)'!$BL$1-$A13,0),""))))</f>
        <v>12338</v>
      </c>
      <c r="AE26" s="1">
        <f ca="1">IF(AND('Input data (2)'!$C$2=4,$D13&gt;=0),OFFSET('Input data (2)'!W$126,'Input data (2)'!$BL$1-$D13,0),IF(AND('Input data (2)'!$C$2=3,$C13&gt;=0),OFFSET('Input data (2)'!W$126,'Input data (2)'!$BL$1-$C13,0),IF(AND('Input data (2)'!$C$2=2,$B13&gt;=0),OFFSET('Input data (2)'!W$126,'Input data (2)'!$BL$1-$B13,0),IF(AND('Input data (2)'!$C$2=1,$A13&gt;=0),OFFSET('Input data (2)'!W$126,'Input data (2)'!$BL$1-$A13,0),""))))</f>
        <v>2835</v>
      </c>
      <c r="AF26" s="1">
        <f ca="1">IF(AND('Input data (2)'!$C$2=4,$D13&gt;=0),OFFSET('Input data (2)'!X$126,'Input data (2)'!$BL$1-$D13,0),IF(AND('Input data (2)'!$C$2=3,$C13&gt;=0),OFFSET('Input data (2)'!X$126,'Input data (2)'!$BL$1-$C13,0),IF(AND('Input data (2)'!$C$2=2,$B13&gt;=0),OFFSET('Input data (2)'!X$126,'Input data (2)'!$BL$1-$B13,0),IF(AND('Input data (2)'!$C$2=1,$A13&gt;=0),OFFSET('Input data (2)'!X$126,'Input data (2)'!$BL$1-$A13,0),""))))</f>
        <v>22.977792186740153</v>
      </c>
      <c r="AG26" s="1">
        <f ca="1">IF(AND('Input data (2)'!$C$2=4,$D13&gt;=0),OFFSET('Input data (2)'!Y$126,'Input data (2)'!$BL$1-$D13,0),IF(AND('Input data (2)'!$C$2=3,$C13&gt;=0),OFFSET('Input data (2)'!Y$126,'Input data (2)'!$BL$1-$C13,0),IF(AND('Input data (2)'!$C$2=2,$B13&gt;=0),OFFSET('Input data (2)'!Y$126,'Input data (2)'!$BL$1-$B13,0),IF(AND('Input data (2)'!$C$2=1,$A13&gt;=0),OFFSET('Input data (2)'!Y$126,'Input data (2)'!$BL$1-$A13,0),""))))</f>
        <v>9503</v>
      </c>
      <c r="AH26" s="1">
        <f ca="1">IF(AND('Input data (2)'!$C$2=4,$D13&gt;=0),OFFSET('Input data (2)'!Z$126,'Input data (2)'!$BL$1-$D13,0),IF(AND('Input data (2)'!$C$2=3,$C13&gt;=0),OFFSET('Input data (2)'!Z$126,'Input data (2)'!$BL$1-$C13,0),IF(AND('Input data (2)'!$C$2=2,$B13&gt;=0),OFFSET('Input data (2)'!Z$126,'Input data (2)'!$BL$1-$B13,0),IF(AND('Input data (2)'!$C$2=1,$A13&gt;=0),OFFSET('Input data (2)'!Z$126,'Input data (2)'!$BL$1-$A13,0),""))))</f>
        <v>77.02220781325984</v>
      </c>
      <c r="AI26" s="3"/>
      <c r="AJ26" s="124">
        <f ca="1">IF(AND('Input data (2)'!$C$2=4,$D13&gt;=0),OFFSET('Input data (2)'!AF$126,'Input data (2)'!$BL$1-$D13,0),IF(AND('Input data (2)'!$C$2=3,$C13&gt;=0),OFFSET('Input data (2)'!AF$126,'Input data (2)'!$BL$1-$C13,0),IF(AND('Input data (2)'!$C$2=2,$B13&gt;=0),OFFSET('Input data (2)'!AF$126,'Input data (2)'!$BL$1-$B13,0),IF(AND('Input data (2)'!$C$2=1,$A13&gt;=0),OFFSET('Input data (2)'!AF$126,'Input data (2)'!$BL$1-$A13,0),""))))</f>
        <v>1882</v>
      </c>
      <c r="AK26" s="124">
        <f ca="1">IF(AND('Input data (2)'!$C$2=4,$D13&gt;=0),OFFSET('Input data (2)'!AD$126,'Input data (2)'!$BL$1-$D13,0),IF(AND('Input data (2)'!$C$2=3,$C13&gt;=0),OFFSET('Input data (2)'!AD$126,'Input data (2)'!$BL$1-$C13,0),IF(AND('Input data (2)'!$C$2=2,$B13&gt;=0),OFFSET('Input data (2)'!AD$126,'Input data (2)'!$BL$1-$B13,0),IF(AND('Input data (2)'!$C$2=1,$A13&gt;=0),OFFSET('Input data (2)'!AD$126,'Input data (2)'!$BL$1-$A13,0),""))))</f>
        <v>11</v>
      </c>
      <c r="AL26" s="124">
        <f ca="1">IF(AND('Input data (2)'!$C$2=4,$D13&gt;=0),OFFSET('Input data (2)'!AE$126,'Input data (2)'!$BL$1-$D13,0),IF(AND('Input data (2)'!$C$2=3,$C13&gt;=0),OFFSET('Input data (2)'!AE$126,'Input data (2)'!$BL$1-$C13,0),IF(AND('Input data (2)'!$C$2=2,$B13&gt;=0),OFFSET('Input data (2)'!AE$126,'Input data (2)'!$BL$1-$B13,0),IF(AND('Input data (2)'!$C$2=1,$A13&gt;=0),OFFSET('Input data (2)'!AE$126,'Input data (2)'!$BL$1-$A13,0),""))))</f>
        <v>1871</v>
      </c>
      <c r="AW26" s="1">
        <f ca="1">IF(AND('Input data (2)'!$C$2=4,$D13&gt;=0),OFFSET('Input data (2)'!L$126,'Input data (2)'!$BL$1-$D13,0),IF(AND('Input data (2)'!$C$2=3,$C13&gt;=0),OFFSET('Input data (2)'!L$126,'Input data (2)'!$BL$1-$C13,0),IF(AND('Input data (2)'!$C$2=2,$B13&gt;=0),OFFSET('Input data (2)'!L$126,'Input data (2)'!$BL$1-$B13,0),IF(AND('Input data (2)'!$C$2=1,$A13&gt;=0),OFFSET('Input data (2)'!L$126,'Input data (2)'!$BL$1-$A13,0),""))))</f>
        <v>167</v>
      </c>
      <c r="AX26" s="1">
        <f ca="1">IF(AND('Input data (2)'!$C$2=4,$D13&gt;=0),OFFSET('Input data (2)'!M$126,'Input data (2)'!$BL$1-$D13,0),IF(AND('Input data (2)'!$C$2=3,$C13&gt;=0),OFFSET('Input data (2)'!M$126,'Input data (2)'!$BL$1-$C13,0),IF(AND('Input data (2)'!$C$2=2,$B13&gt;=0),OFFSET('Input data (2)'!M$126,'Input data (2)'!$BL$1-$B13,0),IF(AND('Input data (2)'!$C$2=1,$A13&gt;=0),OFFSET('Input data (2)'!M$126,'Input data (2)'!$BL$1-$A13,0),""))))</f>
        <v>4</v>
      </c>
      <c r="AY26" s="1">
        <f ca="1">IF(AND('Input data (2)'!$C$2=4,$D13&gt;=0),OFFSET('Input data (2)'!N$126,'Input data (2)'!$BL$1-$D13,0),IF(AND('Input data (2)'!$C$2=3,$C13&gt;=0),OFFSET('Input data (2)'!N$126,'Input data (2)'!$BL$1-$C13,0),IF(AND('Input data (2)'!$C$2=2,$B13&gt;=0),OFFSET('Input data (2)'!N$126,'Input data (2)'!$BL$1-$B13,0),IF(AND('Input data (2)'!$C$2=1,$A13&gt;=0),OFFSET('Input data (2)'!N$126,'Input data (2)'!$BL$1-$A13,0),""))))</f>
        <v>568</v>
      </c>
      <c r="AZ26" s="1">
        <f ca="1">IF(AND('Input data (2)'!$C$2=4,$D13&gt;=0),OFFSET('Input data (2)'!P$126,'Input data (2)'!$BL$1-$D13,0),IF(AND('Input data (2)'!$C$2=3,$C13&gt;=0),OFFSET('Input data (2)'!P$126,'Input data (2)'!$BL$1-$C13,0),IF(AND('Input data (2)'!$C$2=2,$B13&gt;=0),OFFSET('Input data (2)'!P$126,'Input data (2)'!$BL$1-$B13,0),IF(AND('Input data (2)'!$C$2=1,$A13&gt;=0),OFFSET('Input data (2)'!P$126,'Input data (2)'!$BL$1-$A13,0),""))))</f>
        <v>183</v>
      </c>
      <c r="BB26" s="1">
        <f ca="1">IF(AND('Input data (2)'!$C$2=4,$D13&gt;=0),OFFSET('Input data (2)'!BB$126,'Input data (2)'!$BL$1-$D13,0),IF(AND('Input data (2)'!$C$2=3,$C13&gt;=0),OFFSET('Input data (2)'!BB$126,'Input data (2)'!$BL$1-$C13,0),IF(AND('Input data (2)'!$C$2=2,$B13&gt;=0),OFFSET('Input data (2)'!BB$126,'Input data (2)'!$BL$1-$B13,0),IF(AND('Input data (2)'!$C$2=1,$A13&gt;=0),OFFSET('Input data (2)'!BB$126,'Input data (2)'!$BL$1-$A13,0),""))))</f>
        <v>2857</v>
      </c>
      <c r="BC26" s="1">
        <f ca="1">IF(AND('Input data (2)'!$C$2=4,$D13&gt;=0),OFFSET('Input data (2)'!AY$126,'Input data (2)'!$BL$1-$D13,0),IF(AND('Input data (2)'!$C$2=3,$C13&gt;=0),OFFSET('Input data (2)'!AY$126,'Input data (2)'!$BL$1-$C13,0),IF(AND('Input data (2)'!$C$2=2,$B13&gt;=0),OFFSET('Input data (2)'!AY$126,'Input data (2)'!$BL$1-$B13,0),IF(AND('Input data (2)'!$C$2=1,$A13&gt;=0),OFFSET('Input data (2)'!AY$126,'Input data (2)'!$BL$1-$A13,0),""))))</f>
        <v>1334</v>
      </c>
      <c r="BD26" s="1" t="str">
        <f ca="1">IF(AND('Input data (2)'!$C$2=4,$D13&gt;=0),OFFSET('Input data (2)'!AZ$126,'Input data (2)'!$BL$1-$D13,0),IF(AND('Input data (2)'!$C$2=3,$C13&gt;=0),OFFSET('Input data (2)'!AZ$126,'Input data (2)'!$BL$1-$C13,0),IF(AND('Input data (2)'!$C$2=2,$B13&gt;=0),OFFSET('Input data (2)'!AZ$126,'Input data (2)'!$BL$1-$B13,0),IF(AND('Input data (2)'!$C$2=1,$A13&gt;=0),OFFSET('Input data (2)'!AZ$126,'Input data (2)'!$BL$1-$A13,0),""))))</f>
        <v>:</v>
      </c>
      <c r="BE26" s="1">
        <f ca="1">IF(AND('Input data (2)'!$C$2=4,$D13&gt;=0),OFFSET('Input data (2)'!BA$126,'Input data (2)'!$BL$1-$D13,0),IF(AND('Input data (2)'!$C$2=3,$C13&gt;=0),OFFSET('Input data (2)'!BA$126,'Input data (2)'!$BL$1-$C13,0),IF(AND('Input data (2)'!$C$2=2,$B13&gt;=0),OFFSET('Input data (2)'!BA$126,'Input data (2)'!$BL$1-$B13,0),IF(AND('Input data (2)'!$C$2=1,$A13&gt;=0),OFFSET('Input data (2)'!BA$126,'Input data (2)'!$BL$1-$A13,0),""))))</f>
        <v>1523</v>
      </c>
      <c r="BF26" s="1">
        <f ca="1">IF(AND('Input data (2)'!$C$2=4,$D13&gt;=0),OFFSET('Input data (2)'!AP$126,'Input data (2)'!$BL$1-$D13,0),IF(AND('Input data (2)'!$C$2=3,$C13&gt;=0),OFFSET('Input data (2)'!AP$126,'Input data (2)'!$BL$1-$C13,0),IF(AND('Input data (2)'!$C$2=2,$B13&gt;=0),OFFSET('Input data (2)'!AP$126,'Input data (2)'!$BL$1-$B13,0),IF(AND('Input data (2)'!$C$2=1,$A13&gt;=0),OFFSET('Input data (2)'!AP$126,'Input data (2)'!$BL$1-$A13,0),""))))</f>
        <v>159</v>
      </c>
      <c r="BG26" s="1">
        <f ca="1">IF(AND('Input data (2)'!$C$2=4,$D13&gt;=0),OFFSET('Input data (2)'!AN$126,'Input data (2)'!$BL$1-$D13,0),IF(AND('Input data (2)'!$C$2=3,$C13&gt;=0),OFFSET('Input data (2)'!AN$126,'Input data (2)'!$BL$1-$C13,0),IF(AND('Input data (2)'!$C$2=2,$B13&gt;=0),OFFSET('Input data (2)'!AN$126,'Input data (2)'!$BL$1-$B13,0),IF(AND('Input data (2)'!$C$2=1,$A13&gt;=0),OFFSET('Input data (2)'!AN$126,'Input data (2)'!$BL$1-$A13,0),""))))</f>
        <v>120</v>
      </c>
      <c r="BH26" s="1">
        <f ca="1">IF(AND('Input data (2)'!$C$2=4,$D13&gt;=0),OFFSET('Input data (2)'!AO$126,'Input data (2)'!$BL$1-$D13,0),IF(AND('Input data (2)'!$C$2=3,$C13&gt;=0),OFFSET('Input data (2)'!AO$126,'Input data (2)'!$BL$1-$C13,0),IF(AND('Input data (2)'!$C$2=2,$B13&gt;=0),OFFSET('Input data (2)'!AO$126,'Input data (2)'!$BL$1-$B13,0),IF(AND('Input data (2)'!$C$2=1,$A13&gt;=0),OFFSET('Input data (2)'!AO$126,'Input data (2)'!$BL$1-$A13,0),""))))</f>
        <v>39</v>
      </c>
      <c r="BJ26" s="1">
        <f ca="1">IF(AND('Input data (2)'!$C$2=4,$D13&gt;=0),OFFSET('Input data (2)'!AU$126,'Input data (2)'!$BL$1-$D13,0),IF(AND('Input data (2)'!$C$2=3,$C13&gt;=0),OFFSET('Input data (2)'!AU$126,'Input data (2)'!$BL$1-$C13,0),IF(AND('Input data (2)'!$C$2=2,$B13&gt;=0),OFFSET('Input data (2)'!AU$126,'Input data (2)'!$BL$1-$B13,0),IF(AND('Input data (2)'!$C$2=1,$A13&gt;=0),OFFSET('Input data (2)'!AU$126,'Input data (2)'!$BL$1-$A13,0),""))))</f>
        <v>9</v>
      </c>
      <c r="BK26" s="1">
        <f ca="1">IF(AND('Input data (2)'!$C$2=4,$D13&gt;=0),OFFSET('Input data (2)'!AV$126,'Input data (2)'!$BL$1-$D13,0),IF(AND('Input data (2)'!$C$2=3,$C13&gt;=0),OFFSET('Input data (2)'!AV$126,'Input data (2)'!$BL$1-$C13,0),IF(AND('Input data (2)'!$C$2=2,$B13&gt;=0),OFFSET('Input data (2)'!AV$126,'Input data (2)'!$BL$1-$B13,0),IF(AND('Input data (2)'!$C$2=1,$A13&gt;=0),OFFSET('Input data (2)'!AV$126,'Input data (2)'!$BL$1-$A13,0),""))))</f>
        <v>0</v>
      </c>
      <c r="BL26" s="1">
        <f ca="1">IF(AND('Input data (2)'!$C$2=4,$D13&gt;=0),OFFSET('Input data (2)'!AW$126,'Input data (2)'!$BL$1-$D13,0),IF(AND('Input data (2)'!$C$2=3,$C13&gt;=0),OFFSET('Input data (2)'!AW$126,'Input data (2)'!$BL$1-$C13,0),IF(AND('Input data (2)'!$C$2=2,$B13&gt;=0),OFFSET('Input data (2)'!AW$126,'Input data (2)'!$BL$1-$B13,0),IF(AND('Input data (2)'!$C$2=1,$A13&gt;=0),OFFSET('Input data (2)'!AW$126,'Input data (2)'!$BL$1-$A13,0),""))))</f>
        <v>7</v>
      </c>
      <c r="BM26" s="1">
        <f ca="1">IF(AND('Input data (2)'!$C$2=4,$D13&gt;=0),OFFSET('Input data (2)'!AX$126,'Input data (2)'!$BL$1-$D13,0),IF(AND('Input data (2)'!$C$2=3,$C13&gt;=0),OFFSET('Input data (2)'!AX$126,'Input data (2)'!$BL$1-$C13,0),IF(AND('Input data (2)'!$C$2=2,$B13&gt;=0),OFFSET('Input data (2)'!AX$126,'Input data (2)'!$BL$1-$B13,0),IF(AND('Input data (2)'!$C$2=1,$A13&gt;=0),OFFSET('Input data (2)'!AX$126,'Input data (2)'!$BL$1-$A13,0),""))))</f>
        <v>4</v>
      </c>
      <c r="BO26" s="1">
        <f ca="1">IF(AND('Input data (2)'!$C$2=4,$D13&gt;=0),OFFSET('Input data (2)'!BL$126,'Input data (2)'!$BL$1-$D13,0),IF(AND('Input data (2)'!$C$2=3,$C13&gt;=0),OFFSET('Input data (2)'!BL$126,'Input data (2)'!$BL$1-$C13,0),IF(AND('Input data (2)'!$C$2=2,$B13&gt;=0),OFFSET('Input data (2)'!BL$126,'Input data (2)'!$BL$1-$B13,0),IF(AND('Input data (2)'!$C$2=1,$A13&gt;=0),OFFSET('Input data (2)'!BL$126,'Input data (2)'!$BL$1-$A13,0),""))))</f>
        <v>438</v>
      </c>
      <c r="BP26" s="1">
        <f ca="1">IF(AND('Input data (2)'!$C$2=4,$D13&gt;=0),OFFSET('Input data (2)'!BI$126,'Input data (2)'!$BL$1-$D13,0),IF(AND('Input data (2)'!$C$2=3,$C13&gt;=0),OFFSET('Input data (2)'!BI$126,'Input data (2)'!$BL$1-$C13,0),IF(AND('Input data (2)'!$C$2=2,$B13&gt;=0),OFFSET('Input data (2)'!BI$126,'Input data (2)'!$BL$1-$B13,0),IF(AND('Input data (2)'!$C$2=1,$A13&gt;=0),OFFSET('Input data (2)'!BI$126,'Input data (2)'!$BL$1-$A13,0),""))))</f>
        <v>241</v>
      </c>
      <c r="BQ26" s="1" t="str">
        <f ca="1">IF(AND('Input data (2)'!$C$2=4,$D13&gt;=0),OFFSET('Input data (2)'!BK$126,'Input data (2)'!$BL$1-$D13,0),IF(AND('Input data (2)'!$C$2=3,$C13&gt;=0),OFFSET('Input data (2)'!BK$126,'Input data (2)'!$BL$1-$C13,0),IF(AND('Input data (2)'!$C$2=2,$B13&gt;=0),OFFSET('Input data (2)'!BK$126,'Input data (2)'!$BL$1-$B13,0),IF(AND('Input data (2)'!$C$2=1,$A13&gt;=0),OFFSET('Input data (2)'!BK$126,'Input data (2)'!$BL$1-$A13,0),""))))</f>
        <v>..</v>
      </c>
      <c r="BR26" s="1">
        <f ca="1">IF(AND('Input data (2)'!$C$2=4,$D13&gt;=0),OFFSET('Input data (2)'!BJ$126,'Input data (2)'!$BL$1-$D13,0),IF(AND('Input data (2)'!$C$2=3,$C13&gt;=0),OFFSET('Input data (2)'!BJ$126,'Input data (2)'!$BL$1-$C13,0),IF(AND('Input data (2)'!$C$2=2,$B13&gt;=0),OFFSET('Input data (2)'!BJ$126,'Input data (2)'!$BL$1-$B13,0),IF(AND('Input data (2)'!$C$2=1,$A13&gt;=0),OFFSET('Input data (2)'!BJ$126,'Input data (2)'!$BL$1-$A13,0),""))))</f>
        <v>197</v>
      </c>
      <c r="BS26" s="1">
        <f ca="1">IF(AND('Input data (2)'!$C$2=4,$D13&gt;=0),OFFSET('Input data (2)'!BF$126,'Input data (2)'!$BL$1-$D13,0),IF(AND('Input data (2)'!$C$2=3,$C13&gt;=0),OFFSET('Input data (2)'!BF$126,'Input data (2)'!$BL$1-$C13,0),IF(AND('Input data (2)'!$C$2=2,$B13&gt;=0),OFFSET('Input data (2)'!BF$126,'Input data (2)'!$BL$1-$B13,0),IF(AND('Input data (2)'!$C$2=1,$A13&gt;=0),OFFSET('Input data (2)'!BF$126,'Input data (2)'!$BL$1-$A13,0),""))))</f>
        <v>47</v>
      </c>
      <c r="BT26" s="1">
        <f ca="1">IF(AND('Input data (2)'!$C$2=4,$D13&gt;=0),OFFSET('Input data (2)'!BD$126,'Input data (2)'!$BL$1-$D13,0),IF(AND('Input data (2)'!$C$2=3,$C13&gt;=0),OFFSET('Input data (2)'!BD$126,'Input data (2)'!$BL$1-$C13,0),IF(AND('Input data (2)'!$C$2=2,$B13&gt;=0),OFFSET('Input data (2)'!BD$126,'Input data (2)'!$BL$1-$B13,0),IF(AND('Input data (2)'!$C$2=1,$A13&gt;=0),OFFSET('Input data (2)'!BD$126,'Input data (2)'!$BL$1-$A13,0),""))))</f>
        <v>28</v>
      </c>
      <c r="BU26" s="1">
        <f ca="1">IF(AND('Input data (2)'!$C$2=4,$D13&gt;=0),OFFSET('Input data (2)'!BE$126,'Input data (2)'!$BL$1-$D13,0),IF(AND('Input data (2)'!$C$2=3,$C13&gt;=0),OFFSET('Input data (2)'!BE$126,'Input data (2)'!$BL$1-$C13,0),IF(AND('Input data (2)'!$C$2=2,$B13&gt;=0),OFFSET('Input data (2)'!BE$126,'Input data (2)'!$BL$1-$B13,0),IF(AND('Input data (2)'!$C$2=1,$A13&gt;=0),OFFSET('Input data (2)'!BE$126,'Input data (2)'!$BL$1-$A13,0),""))))</f>
        <v>19</v>
      </c>
      <c r="BW26" s="7">
        <f ca="1">IF(AND('Input data (2)'!$C$2=4,$D13&gt;=0),OFFSET('Input data (2)'!J$126,'Input data (2)'!$BL$1-$D13,0),IF(AND('Input data (2)'!$C$2=3,$C13&gt;=0),OFFSET('Input data (2)'!J$126,'Input data (2)'!$BL$1-$C13,0),IF(AND('Input data (2)'!$C$2=2,$B13&gt;=0),OFFSET('Input data (2)'!J$126,'Input data (2)'!$BL$1-$B13,0),IF(AND('Input data (2)'!$C$2=1,$A13&gt;=0),OFFSET('Input data (2)'!J$126,'Input data (2)'!$BL$1-$A13,0),""))))</f>
        <v>0.69321966250449174</v>
      </c>
      <c r="BX26" s="7">
        <f ca="1">IF(AND('Input data (2)'!$C$2=4,$D13&gt;=0),OFFSET('Input data (2)'!K$126,'Input data (2)'!$BL$1-$D13,0),IF(AND('Input data (2)'!$C$2=3,$C13&gt;=0),OFFSET('Input data (2)'!K$126,'Input data (2)'!$BL$1-$C13,0),IF(AND('Input data (2)'!$C$2=2,$B13&gt;=0),OFFSET('Input data (2)'!K$126,'Input data (2)'!$BL$1-$B13,0),IF(AND('Input data (2)'!$C$2=1,$A13&gt;=0),OFFSET('Input data (2)'!K$126,'Input data (2)'!$BL$1-$A13,0),""))))</f>
        <v>0.63364780781435626</v>
      </c>
      <c r="BY26" s="7">
        <f ca="1">IF(AND('Input data (2)'!$C$2=4,$D13&gt;=0),OFFSET('Input data (2)'!AS$126,'Input data (2)'!$BL$1-$D13,0),IF(AND('Input data (2)'!$C$2=3,$C13&gt;=0),OFFSET('Input data (2)'!AS$126,'Input data (2)'!$BL$1-$C13,0),IF(AND('Input data (2)'!$C$2=2,$B13&gt;=0),OFFSET('Input data (2)'!AS$126,'Input data (2)'!$BL$1-$B13,0),IF(AND('Input data (2)'!$C$2=1,$A13&gt;=0),OFFSET('Input data (2)'!AS$126,'Input data (2)'!$BL$1-$A13,0),""))))</f>
        <v>0.59294912716453918</v>
      </c>
      <c r="BZ26" s="7">
        <f ca="1">IF(AND('Input data (2)'!$C$2=4,$D13&gt;=0),OFFSET('Input data (2)'!AT$126,'Input data (2)'!$BL$1-$D13,0),IF(AND('Input data (2)'!$C$2=3,$C13&gt;=0),OFFSET('Input data (2)'!AT$126,'Input data (2)'!$BL$1-$C13,0),IF(AND('Input data (2)'!$C$2=2,$B13&gt;=0),OFFSET('Input data (2)'!AT$126,'Input data (2)'!$BL$1-$B13,0),IF(AND('Input data (2)'!$C$2=1,$A13&gt;=0),OFFSET('Input data (2)'!AT$126,'Input data (2)'!$BL$1-$A13,0),""))))</f>
        <v>0.54445421461678223</v>
      </c>
      <c r="CB26" s="122"/>
      <c r="CC26" s="122"/>
      <c r="CD26" s="122"/>
      <c r="CE26" s="122"/>
      <c r="CG26" s="1">
        <v>18</v>
      </c>
      <c r="CI26" s="1">
        <f t="shared" ca="1" si="24"/>
        <v>2008</v>
      </c>
      <c r="CJ26" s="1" t="str">
        <f t="shared" si="25"/>
        <v>Q4</v>
      </c>
      <c r="CK26" s="1" t="str">
        <f t="shared" ca="1" si="12"/>
        <v>08</v>
      </c>
      <c r="CL26" s="1" t="str">
        <f t="shared" ca="1" si="13"/>
        <v>Q4 08</v>
      </c>
      <c r="CM26" s="1">
        <f ca="1">OFFSET('Input data (2)'!AJ$126,'Input data (2)'!$BL$1-'Output data - DO NOT TOUCH (2)'!$CG26,0)/1000</f>
        <v>18.936</v>
      </c>
      <c r="CN26" s="1">
        <f ca="1">OFFSET('Input data (2)'!AK$126,'Input data (2)'!$BL$1-'Output data - DO NOT TOUCH (2)'!$CG26,0)/1000</f>
        <v>10.298</v>
      </c>
      <c r="CO26" s="1">
        <f ca="1">OFFSET('Input data (2)'!AL$126,'Input data (2)'!$BL$1-'Output data - DO NOT TOUCH (2)'!$CG26,0)/1000</f>
        <v>29.234000000000002</v>
      </c>
      <c r="CP26" s="1"/>
      <c r="CQ26" s="1">
        <f ca="1">OFFSET('Input data (2)'!AG$126,'Input data (2)'!$BL$1-'Output data - DO NOT TOUCH (2)'!$CG26,0)/1000</f>
        <v>1.518</v>
      </c>
      <c r="CR26" s="1">
        <f ca="1">OFFSET('Input data (2)'!AH$126,'Input data (2)'!$BL$1-'Output data - DO NOT TOUCH (2)'!$CG26,0)/1000</f>
        <v>3.1219999999999999</v>
      </c>
      <c r="CS26" s="1">
        <f ca="1">OFFSET('Input data (2)'!AI$126,'Input data (2)'!$BL$1-'Output data - DO NOT TOUCH (2)'!$CG26,0)/1000</f>
        <v>4.6399999999999997</v>
      </c>
      <c r="CT26" s="1"/>
      <c r="CU26" s="1">
        <f ca="1">OFFSET('Input data (2)'!L$126,'Input data (2)'!$BL$1-'Output data - DO NOT TOUCH (2)'!$CG26,0)</f>
        <v>261</v>
      </c>
      <c r="CV26" s="1">
        <f ca="1">OFFSET('Input data (2)'!M$126,'Input data (2)'!$BL$1-'Output data - DO NOT TOUCH (2)'!$CG26,0)</f>
        <v>0</v>
      </c>
      <c r="CW26" s="67">
        <f ca="1">OFFSET('Input data (2)'!N$126,'Input data (2)'!$BL$1-'Output data - DO NOT TOUCH (2)'!$CG26,0)</f>
        <v>2018</v>
      </c>
      <c r="CX26" s="1">
        <f ca="1">OFFSET('Input data (2)'!P$126,'Input data (2)'!$BL$1-'Output data - DO NOT TOUCH (2)'!$CG26,0)</f>
        <v>149</v>
      </c>
      <c r="CY26" s="1"/>
      <c r="CZ26" s="1">
        <f ca="1">OFFSET('Input data (2)'!AY$126,'Input data (2)'!$BL$1-'Output data - DO NOT TOUCH (2)'!$CG26,0)/1000</f>
        <v>3.996</v>
      </c>
      <c r="DA26" s="1">
        <f ca="1">OFFSET('Input data (2)'!BA$126,'Input data (2)'!$BL$1-'Output data - DO NOT TOUCH (2)'!$CG26,0)/1000</f>
        <v>1.837</v>
      </c>
      <c r="DB26" s="1">
        <f ca="1">OFFSET('Input data (2)'!BB$126,'Input data (2)'!$BL$1-'Output data - DO NOT TOUCH (2)'!$CG26,0)/1000</f>
        <v>5.8330000000000002</v>
      </c>
      <c r="DD26" s="1">
        <f ca="1">OFFSET('Input data (2)'!AN$126,'Input data (2)'!$BL$1-'Output data - DO NOT TOUCH (2)'!$CG26,0)</f>
        <v>120</v>
      </c>
      <c r="DE26" s="1">
        <f ca="1">OFFSET('Input data (2)'!AO$126,'Input data (2)'!$BL$1-'Output data - DO NOT TOUCH (2)'!$CG26,0)</f>
        <v>43</v>
      </c>
      <c r="DF26" s="1">
        <f ca="1">OFFSET('Input data (2)'!AP$126,'Input data (2)'!$BL$1-'Output data - DO NOT TOUCH (2)'!$CG26,0)</f>
        <v>163</v>
      </c>
      <c r="DG26" s="1"/>
      <c r="DH26" s="1">
        <f ca="1">OFFSET('Input data (2)'!AU$126,'Input data (2)'!$BL$1-'Output data - DO NOT TOUCH (2)'!$CG26,0)</f>
        <v>5</v>
      </c>
      <c r="DI26" s="1">
        <f ca="1">OFFSET('Input data (2)'!AV$126,'Input data (2)'!$BL$1-'Output data - DO NOT TOUCH (2)'!$CG26,0)</f>
        <v>0</v>
      </c>
      <c r="DJ26" s="1">
        <f ca="1">OFFSET('Input data (2)'!AW$126,'Input data (2)'!$BL$1-'Output data - DO NOT TOUCH (2)'!$CG26,0)</f>
        <v>55</v>
      </c>
      <c r="DK26" s="1">
        <f ca="1">OFFSET('Input data (2)'!AX$126,'Input data (2)'!$BL$1-'Output data - DO NOT TOUCH (2)'!$CG26,0)</f>
        <v>2</v>
      </c>
      <c r="DM26" s="1">
        <f ca="1">OFFSET('Input data (2)'!BI$126,'Input data (2)'!$BL$1-'Output data - DO NOT TOUCH (2)'!$CG26,0)</f>
        <v>293</v>
      </c>
      <c r="DN26" s="1">
        <f ca="1">OFFSET('Input data (2)'!BJ$126,'Input data (2)'!$BL$1-'Output data - DO NOT TOUCH (2)'!$CG26,0)</f>
        <v>150</v>
      </c>
      <c r="DO26" s="1">
        <f ca="1">OFFSET('Input data (2)'!BL$126,'Input data (2)'!$BL$1-'Output data - DO NOT TOUCH (2)'!$CG26,0)</f>
        <v>443</v>
      </c>
      <c r="DQ26" s="1">
        <f ca="1">OFFSET('Input data (2)'!BD$126,'Input data (2)'!$BL$1-'Output data - DO NOT TOUCH (2)'!$CG26,0)</f>
        <v>52</v>
      </c>
      <c r="DR26" s="1">
        <f ca="1">OFFSET('Input data (2)'!BE$126,'Input data (2)'!$BL$1-'Output data - DO NOT TOUCH (2)'!$CG26,0)</f>
        <v>14</v>
      </c>
      <c r="DS26" s="1">
        <f ca="1">OFFSET('Input data (2)'!BF$126,'Input data (2)'!$BL$1-'Output data - DO NOT TOUCH (2)'!$CG26,0)</f>
        <v>66</v>
      </c>
      <c r="DU26" s="1">
        <f ca="1">OFFSET('Input data (2)'!B$126,'Input data (2)'!$BL$1-'Output data - DO NOT TOUCH (2)'!$CG26-1,0)</f>
        <v>2008</v>
      </c>
      <c r="DV26" s="1" t="str">
        <f ca="1">OFFSET('Input data (2)'!C$126,'Input data (2)'!$BL$1-'Output data - DO NOT TOUCH (2)'!$CG26-1,0)</f>
        <v>Q3</v>
      </c>
      <c r="DW26" s="1" t="str">
        <f t="shared" ca="1" si="14"/>
        <v>08</v>
      </c>
      <c r="DX26" s="1" t="str">
        <f t="shared" ca="1" si="15"/>
        <v>Q3 08</v>
      </c>
      <c r="DY26" s="1">
        <f ca="1">OFFSET('Input data (2)'!W$126,'Input data (2)'!$BL$1-'Output data - DO NOT TOUCH (2)'!$CG26-1,0)/1000</f>
        <v>2.1150000000000002</v>
      </c>
      <c r="DZ26" s="1">
        <f ca="1">OFFSET('Input data (2)'!Y$126,'Input data (2)'!$BL$1-'Output data - DO NOT TOUCH (2)'!$CG26-1,0)/1000</f>
        <v>15.122</v>
      </c>
      <c r="EA26" s="1">
        <f ca="1">OFFSET('Input data (2)'!Q$126,'Input data (2)'!$BL$1-'Output data - DO NOT TOUCH (2)'!$CG26-1,0)/1000</f>
        <v>17.236999999999998</v>
      </c>
    </row>
    <row r="27" spans="1:140" x14ac:dyDescent="0.15">
      <c r="A27" s="1">
        <v>17</v>
      </c>
      <c r="B27" s="1">
        <v>18</v>
      </c>
      <c r="C27" s="1">
        <v>19</v>
      </c>
      <c r="D27" s="1">
        <v>16</v>
      </c>
      <c r="E27" s="1" t="str">
        <f>F27&amp;G27</f>
        <v>2005Q3</v>
      </c>
      <c r="F27" s="1">
        <f>F22+1</f>
        <v>2005</v>
      </c>
      <c r="G27" s="1" t="s">
        <v>3</v>
      </c>
      <c r="H27" s="1">
        <f>VLOOKUP($E27,'Input data (2)'!$A:$BL,'Output data - DO NOT TOUCH (2)'!H$71,FALSE)</f>
        <v>3306</v>
      </c>
      <c r="I27" s="1">
        <f>VLOOKUP($E27,'Input data (2)'!$A:$BL,'Output data - DO NOT TOUCH (2)'!I$71,FALSE)</f>
        <v>1454</v>
      </c>
      <c r="J27" s="1">
        <f>VLOOKUP($E27,'Input data (2)'!$A:$BL,'Output data - DO NOT TOUCH (2)'!J$71,FALSE)</f>
        <v>1852</v>
      </c>
      <c r="K27" s="1">
        <f>VLOOKUP($E27,'Input data (2)'!$A:$BL,'Output data - DO NOT TOUCH (2)'!K$71,FALSE)</f>
        <v>3408</v>
      </c>
      <c r="L27" s="1">
        <f>VLOOKUP($E27,'Input data (2)'!$A:$BL,'Output data - DO NOT TOUCH (2)'!L$71,FALSE)</f>
        <v>1527</v>
      </c>
      <c r="M27" s="1">
        <f>VLOOKUP($E27,'Input data (2)'!$A:$BL,'Output data - DO NOT TOUCH (2)'!M$71,FALSE)</f>
        <v>1881</v>
      </c>
      <c r="O27" s="119">
        <f ca="1">IF(AND('Input data (2)'!$C$2=4,$D14&gt;=0),OFFSET('Input data (2)'!O$126,'Input data (2)'!$BL$1-$D14,0),IF(AND('Input data (2)'!$C$2=3,$C14&gt;=0),OFFSET('Input data (2)'!O$126,'Input data (2)'!$BL$1-$C14,0),IF(AND('Input data (2)'!$C$2=2,$B14&gt;=0),OFFSET('Input data (2)'!O$126,'Input data (2)'!$BL$1-$B14,0),IF(AND('Input data (2)'!$C$2=1,$A14&gt;=0),OFFSET('Input data (2)'!O$126,'Input data (2)'!$BL$1-$A14,0),""))))</f>
        <v>149</v>
      </c>
      <c r="Q27" s="1">
        <f ca="1">IF(AND('Input data (2)'!$C$2=4,$D14&gt;=0),OFFSET('Input data (2)'!AC$126,'Input data (2)'!$BL$1-$D14,0),IF(AND('Input data (2)'!$C$2=3,$C14&gt;=0),OFFSET('Input data (2)'!AC$126,'Input data (2)'!$BL$1-$C14,0),IF(AND('Input data (2)'!$C$2=2,$B14&gt;=0),OFFSET('Input data (2)'!AC$126,'Input data (2)'!$BL$1-$B14,0),IF(AND('Input data (2)'!$C$2=1,$A14&gt;=0),OFFSET('Input data (2)'!AC$126,'Input data (2)'!$BL$1-$A14,0),""))))</f>
        <v>18010</v>
      </c>
      <c r="R27" s="1">
        <f ca="1">IF(AND('Input data (2)'!$C$2=4,$D14&gt;=0),OFFSET('Input data (2)'!Q$126,'Input data (2)'!$BL$1-$D14,0),IF(AND('Input data (2)'!$C$2=3,$C14&gt;=0),OFFSET('Input data (2)'!Q$126,'Input data (2)'!$BL$1-$C14,0),IF(AND('Input data (2)'!$C$2=2,$B14&gt;=0),OFFSET('Input data (2)'!Q$126,'Input data (2)'!$BL$1-$B14,0),IF(AND('Input data (2)'!$C$2=1,$A14&gt;=0),OFFSET('Input data (2)'!Q$126,'Input data (2)'!$BL$1-$A14,0),""))))</f>
        <v>12256</v>
      </c>
      <c r="S27" s="1" t="str">
        <f ca="1">IF(AND('Input data (2)'!$C$2=4,$D14&gt;=0),OFFSET('Input data (2)'!R$126,'Input data (2)'!$BL$1-$D14,0),IF(AND('Input data (2)'!$C$2=3,$C14&gt;=0),OFFSET('Input data (2)'!R$126,'Input data (2)'!$BL$1-$C14,0),IF(AND('Input data (2)'!$C$2=2,$B14&gt;=0),OFFSET('Input data (2)'!R$126,'Input data (2)'!$BL$1-$B14,0),IF(AND('Input data (2)'!$C$2=1,$A14&gt;=0),OFFSET('Input data (2)'!R$126,'Input data (2)'!$BL$1-$A14,0),""))))</f>
        <v>:</v>
      </c>
      <c r="T27" s="1">
        <f ca="1">IF(AND('Input data (2)'!$C$2=4,$D14&gt;=0),OFFSET('Input data (2)'!AA$126,'Input data (2)'!$BL$1-$D14,0),IF(AND('Input data (2)'!$C$2=3,$C14&gt;=0),OFFSET('Input data (2)'!AA$126,'Input data (2)'!$BL$1-$C14,0),IF(AND('Input data (2)'!$C$2=2,$B14&gt;=0),OFFSET('Input data (2)'!AA$126,'Input data (2)'!$BL$1-$B14,0),IF(AND('Input data (2)'!$C$2=1,$A14&gt;=0),OFFSET('Input data (2)'!AA$126,'Input data (2)'!$BL$1-$A14,0),""))))</f>
        <v>5754</v>
      </c>
      <c r="U27" s="1">
        <f ca="1">IF(AND('Input data (2)'!$C$2=4,$D14&gt;=0),OFFSET('Input data (2)'!AL$126,'Input data (2)'!$BL$1-$D14,0),IF(AND('Input data (2)'!$C$2=3,$C14&gt;=0),OFFSET('Input data (2)'!AL$126,'Input data (2)'!$BL$1-$C14,0),IF(AND('Input data (2)'!$C$2=2,$B14&gt;=0),OFFSET('Input data (2)'!AL$126,'Input data (2)'!$BL$1-$B14,0),IF(AND('Input data (2)'!$C$2=1,$A14&gt;=0),OFFSET('Input data (2)'!AL$126,'Input data (2)'!$BL$1-$A14,0),""))))</f>
        <v>17898</v>
      </c>
      <c r="V27" s="1">
        <f ca="1">IF(AND('Input data (2)'!$C$2=4,$D14&gt;=0),OFFSET('Input data (2)'!AJ$126,'Input data (2)'!$BL$1-$D14,0),IF(AND('Input data (2)'!$C$2=3,$C14&gt;=0),OFFSET('Input data (2)'!AJ$126,'Input data (2)'!$BL$1-$C14,0),IF(AND('Input data (2)'!$C$2=2,$B14&gt;=0),OFFSET('Input data (2)'!AJ$126,'Input data (2)'!$BL$1-$B14,0),IF(AND('Input data (2)'!$C$2=1,$A14&gt;=0),OFFSET('Input data (2)'!AJ$126,'Input data (2)'!$BL$1-$A14,0),""))))</f>
        <v>12383</v>
      </c>
      <c r="W27" s="1">
        <f ca="1">IF(AND('Input data (2)'!$C$2=4,$D14&gt;=0),OFFSET('Input data (2)'!AK$126,'Input data (2)'!$BL$1-$D14,0),IF(AND('Input data (2)'!$C$2=3,$C14&gt;=0),OFFSET('Input data (2)'!AK$126,'Input data (2)'!$BL$1-$C14,0),IF(AND('Input data (2)'!$C$2=2,$B14&gt;=0),OFFSET('Input data (2)'!AK$126,'Input data (2)'!$BL$1-$B14,0),IF(AND('Input data (2)'!$C$2=1,$A14&gt;=0),OFFSET('Input data (2)'!AK$126,'Input data (2)'!$BL$1-$A14,0),""))))</f>
        <v>5515</v>
      </c>
      <c r="Y27" s="1">
        <f ca="1">IF(AND('Input data (2)'!$C$2=4,$D14&gt;=0),OFFSET('Input data (2)'!Q$126,'Input data (2)'!$BL$1-$D14,0),IF(AND('Input data (2)'!$C$2=3,$C14&gt;=0),OFFSET('Input data (2)'!Q$126,'Input data (2)'!$BL$1-$C14,0),IF(AND('Input data (2)'!$C$2=2,$B14&gt;=0),OFFSET('Input data (2)'!Q$126,'Input data (2)'!$BL$1-$B14,0),IF(AND('Input data (2)'!$C$2=1,$A14&gt;=0),OFFSET('Input data (2)'!Q$126,'Input data (2)'!$BL$1-$A14,0),""))))</f>
        <v>12256</v>
      </c>
      <c r="Z27" s="1">
        <f ca="1">IF(AND('Input data (2)'!$C$2=4,$D14&gt;=0),OFFSET('Input data (2)'!S$126,'Input data (2)'!$BL$1-$D14,0),IF(AND('Input data (2)'!$C$2=3,$C14&gt;=0),OFFSET('Input data (2)'!S$126,'Input data (2)'!$BL$1-$C14,0),IF(AND('Input data (2)'!$C$2=2,$B14&gt;=0),OFFSET('Input data (2)'!S$126,'Input data (2)'!$BL$1-$B14,0),IF(AND('Input data (2)'!$C$2=1,$A14&gt;=0),OFFSET('Input data (2)'!S$126,'Input data (2)'!$BL$1-$A14,0),""))))</f>
        <v>9902</v>
      </c>
      <c r="AA27" s="1">
        <f ca="1">IF(AND('Input data (2)'!$C$2=4,$D14&gt;=0),OFFSET('Input data (2)'!T$126,'Input data (2)'!$BL$1-$D14,0),IF(AND('Input data (2)'!$C$2=3,$C14&gt;=0),OFFSET('Input data (2)'!T$126,'Input data (2)'!$BL$1-$C14,0),IF(AND('Input data (2)'!$C$2=2,$B14&gt;=0),OFFSET('Input data (2)'!T$126,'Input data (2)'!$BL$1-$B14,0),IF(AND('Input data (2)'!$C$2=1,$A14&gt;=0),OFFSET('Input data (2)'!T$126,'Input data (2)'!$BL$1-$A14,0),""))))</f>
        <v>80.793080939947785</v>
      </c>
      <c r="AB27" s="1">
        <f ca="1">IF(AND('Input data (2)'!$C$2=4,$D14&gt;=0),OFFSET('Input data (2)'!U$126,'Input data (2)'!$BL$1-$D14,0),IF(AND('Input data (2)'!$C$2=3,$C14&gt;=0),OFFSET('Input data (2)'!U$126,'Input data (2)'!$BL$1-$C14,0),IF(AND('Input data (2)'!$C$2=2,$B14&gt;=0),OFFSET('Input data (2)'!U$126,'Input data (2)'!$BL$1-$B14,0),IF(AND('Input data (2)'!$C$2=1,$A14&gt;=0),OFFSET('Input data (2)'!U$126,'Input data (2)'!$BL$1-$A14,0),""))))</f>
        <v>2354</v>
      </c>
      <c r="AC27" s="1">
        <f ca="1">IF(AND('Input data (2)'!$C$2=4,$D14&gt;=0),OFFSET('Input data (2)'!V$126,'Input data (2)'!$BL$1-$D14,0),IF(AND('Input data (2)'!$C$2=3,$C14&gt;=0),OFFSET('Input data (2)'!V$126,'Input data (2)'!$BL$1-$C14,0),IF(AND('Input data (2)'!$C$2=2,$B14&gt;=0),OFFSET('Input data (2)'!V$126,'Input data (2)'!$BL$1-$B14,0),IF(AND('Input data (2)'!$C$2=1,$A14&gt;=0),OFFSET('Input data (2)'!V$126,'Input data (2)'!$BL$1-$A14,0),""))))</f>
        <v>19.206919060052218</v>
      </c>
      <c r="AD27" s="1">
        <f ca="1">IF(AND('Input data (2)'!$C$2=4,$D14&gt;=0),OFFSET('Input data (2)'!Q$126,'Input data (2)'!$BL$1-$D14,0),IF(AND('Input data (2)'!$C$2=3,$C14&gt;=0),OFFSET('Input data (2)'!Q$126,'Input data (2)'!$BL$1-$C14,0),IF(AND('Input data (2)'!$C$2=2,$B14&gt;=0),OFFSET('Input data (2)'!Q$126,'Input data (2)'!$BL$1-$B14,0),IF(AND('Input data (2)'!$C$2=1,$A14&gt;=0),OFFSET('Input data (2)'!Q$126,'Input data (2)'!$BL$1-$A14,0),""))))</f>
        <v>12256</v>
      </c>
      <c r="AE27" s="1">
        <f ca="1">IF(AND('Input data (2)'!$C$2=4,$D14&gt;=0),OFFSET('Input data (2)'!W$126,'Input data (2)'!$BL$1-$D14,0),IF(AND('Input data (2)'!$C$2=3,$C14&gt;=0),OFFSET('Input data (2)'!W$126,'Input data (2)'!$BL$1-$C14,0),IF(AND('Input data (2)'!$C$2=2,$B14&gt;=0),OFFSET('Input data (2)'!W$126,'Input data (2)'!$BL$1-$B14,0),IF(AND('Input data (2)'!$C$2=1,$A14&gt;=0),OFFSET('Input data (2)'!W$126,'Input data (2)'!$BL$1-$A14,0),""))))</f>
        <v>2850</v>
      </c>
      <c r="AF27" s="1">
        <f ca="1">IF(AND('Input data (2)'!$C$2=4,$D14&gt;=0),OFFSET('Input data (2)'!X$126,'Input data (2)'!$BL$1-$D14,0),IF(AND('Input data (2)'!$C$2=3,$C14&gt;=0),OFFSET('Input data (2)'!X$126,'Input data (2)'!$BL$1-$C14,0),IF(AND('Input data (2)'!$C$2=2,$B14&gt;=0),OFFSET('Input data (2)'!X$126,'Input data (2)'!$BL$1-$B14,0),IF(AND('Input data (2)'!$C$2=1,$A14&gt;=0),OFFSET('Input data (2)'!X$126,'Input data (2)'!$BL$1-$A14,0),""))))</f>
        <v>23.253916449086162</v>
      </c>
      <c r="AG27" s="1">
        <f ca="1">IF(AND('Input data (2)'!$C$2=4,$D14&gt;=0),OFFSET('Input data (2)'!Y$126,'Input data (2)'!$BL$1-$D14,0),IF(AND('Input data (2)'!$C$2=3,$C14&gt;=0),OFFSET('Input data (2)'!Y$126,'Input data (2)'!$BL$1-$C14,0),IF(AND('Input data (2)'!$C$2=2,$B14&gt;=0),OFFSET('Input data (2)'!Y$126,'Input data (2)'!$BL$1-$B14,0),IF(AND('Input data (2)'!$C$2=1,$A14&gt;=0),OFFSET('Input data (2)'!Y$126,'Input data (2)'!$BL$1-$A14,0),""))))</f>
        <v>9406</v>
      </c>
      <c r="AH27" s="1">
        <f ca="1">IF(AND('Input data (2)'!$C$2=4,$D14&gt;=0),OFFSET('Input data (2)'!Z$126,'Input data (2)'!$BL$1-$D14,0),IF(AND('Input data (2)'!$C$2=3,$C14&gt;=0),OFFSET('Input data (2)'!Z$126,'Input data (2)'!$BL$1-$C14,0),IF(AND('Input data (2)'!$C$2=2,$B14&gt;=0),OFFSET('Input data (2)'!Z$126,'Input data (2)'!$BL$1-$B14,0),IF(AND('Input data (2)'!$C$2=1,$A14&gt;=0),OFFSET('Input data (2)'!Z$126,'Input data (2)'!$BL$1-$A14,0),""))))</f>
        <v>76.746083550913838</v>
      </c>
      <c r="AI27" s="3"/>
      <c r="AJ27" s="124">
        <f ca="1">IF(AND('Input data (2)'!$C$2=4,$D14&gt;=0),OFFSET('Input data (2)'!AF$126,'Input data (2)'!$BL$1-$D14,0),IF(AND('Input data (2)'!$C$2=3,$C14&gt;=0),OFFSET('Input data (2)'!AF$126,'Input data (2)'!$BL$1-$C14,0),IF(AND('Input data (2)'!$C$2=2,$B14&gt;=0),OFFSET('Input data (2)'!AF$126,'Input data (2)'!$BL$1-$B14,0),IF(AND('Input data (2)'!$C$2=1,$A14&gt;=0),OFFSET('Input data (2)'!AF$126,'Input data (2)'!$BL$1-$A14,0),""))))</f>
        <v>2900</v>
      </c>
      <c r="AK27" s="124">
        <f ca="1">IF(AND('Input data (2)'!$C$2=4,$D14&gt;=0),OFFSET('Input data (2)'!AD$126,'Input data (2)'!$BL$1-$D14,0),IF(AND('Input data (2)'!$C$2=3,$C14&gt;=0),OFFSET('Input data (2)'!AD$126,'Input data (2)'!$BL$1-$C14,0),IF(AND('Input data (2)'!$C$2=2,$B14&gt;=0),OFFSET('Input data (2)'!AD$126,'Input data (2)'!$BL$1-$B14,0),IF(AND('Input data (2)'!$C$2=1,$A14&gt;=0),OFFSET('Input data (2)'!AD$126,'Input data (2)'!$BL$1-$A14,0),""))))</f>
        <v>12</v>
      </c>
      <c r="AL27" s="124">
        <f ca="1">IF(AND('Input data (2)'!$C$2=4,$D14&gt;=0),OFFSET('Input data (2)'!AE$126,'Input data (2)'!$BL$1-$D14,0),IF(AND('Input data (2)'!$C$2=3,$C14&gt;=0),OFFSET('Input data (2)'!AE$126,'Input data (2)'!$BL$1-$C14,0),IF(AND('Input data (2)'!$C$2=2,$B14&gt;=0),OFFSET('Input data (2)'!AE$126,'Input data (2)'!$BL$1-$B14,0),IF(AND('Input data (2)'!$C$2=1,$A14&gt;=0),OFFSET('Input data (2)'!AE$126,'Input data (2)'!$BL$1-$A14,0),""))))</f>
        <v>2888</v>
      </c>
      <c r="AW27" s="1">
        <f ca="1">IF(AND('Input data (2)'!$C$2=4,$D14&gt;=0),OFFSET('Input data (2)'!L$126,'Input data (2)'!$BL$1-$D14,0),IF(AND('Input data (2)'!$C$2=3,$C14&gt;=0),OFFSET('Input data (2)'!L$126,'Input data (2)'!$BL$1-$C14,0),IF(AND('Input data (2)'!$C$2=2,$B14&gt;=0),OFFSET('Input data (2)'!L$126,'Input data (2)'!$BL$1-$B14,0),IF(AND('Input data (2)'!$C$2=1,$A14&gt;=0),OFFSET('Input data (2)'!L$126,'Input data (2)'!$BL$1-$A14,0),""))))</f>
        <v>170</v>
      </c>
      <c r="AX27" s="1">
        <f ca="1">IF(AND('Input data (2)'!$C$2=4,$D14&gt;=0),OFFSET('Input data (2)'!M$126,'Input data (2)'!$BL$1-$D14,0),IF(AND('Input data (2)'!$C$2=3,$C14&gt;=0),OFFSET('Input data (2)'!M$126,'Input data (2)'!$BL$1-$C14,0),IF(AND('Input data (2)'!$C$2=2,$B14&gt;=0),OFFSET('Input data (2)'!M$126,'Input data (2)'!$BL$1-$B14,0),IF(AND('Input data (2)'!$C$2=1,$A14&gt;=0),OFFSET('Input data (2)'!M$126,'Input data (2)'!$BL$1-$A14,0),""))))</f>
        <v>0</v>
      </c>
      <c r="AY27" s="1">
        <f ca="1">IF(AND('Input data (2)'!$C$2=4,$D14&gt;=0),OFFSET('Input data (2)'!N$126,'Input data (2)'!$BL$1-$D14,0),IF(AND('Input data (2)'!$C$2=3,$C14&gt;=0),OFFSET('Input data (2)'!N$126,'Input data (2)'!$BL$1-$C14,0),IF(AND('Input data (2)'!$C$2=2,$B14&gt;=0),OFFSET('Input data (2)'!N$126,'Input data (2)'!$BL$1-$B14,0),IF(AND('Input data (2)'!$C$2=1,$A14&gt;=0),OFFSET('Input data (2)'!N$126,'Input data (2)'!$BL$1-$A14,0),""))))</f>
        <v>620</v>
      </c>
      <c r="AZ27" s="1">
        <f ca="1">IF(AND('Input data (2)'!$C$2=4,$D14&gt;=0),OFFSET('Input data (2)'!P$126,'Input data (2)'!$BL$1-$D14,0),IF(AND('Input data (2)'!$C$2=3,$C14&gt;=0),OFFSET('Input data (2)'!P$126,'Input data (2)'!$BL$1-$C14,0),IF(AND('Input data (2)'!$C$2=2,$B14&gt;=0),OFFSET('Input data (2)'!P$126,'Input data (2)'!$BL$1-$B14,0),IF(AND('Input data (2)'!$C$2=1,$A14&gt;=0),OFFSET('Input data (2)'!P$126,'Input data (2)'!$BL$1-$A14,0),""))))</f>
        <v>130</v>
      </c>
      <c r="BB27" s="1">
        <f ca="1">IF(AND('Input data (2)'!$C$2=4,$D14&gt;=0),OFFSET('Input data (2)'!BB$126,'Input data (2)'!$BL$1-$D14,0),IF(AND('Input data (2)'!$C$2=3,$C14&gt;=0),OFFSET('Input data (2)'!BB$126,'Input data (2)'!$BL$1-$C14,0),IF(AND('Input data (2)'!$C$2=2,$B14&gt;=0),OFFSET('Input data (2)'!BB$126,'Input data (2)'!$BL$1-$B14,0),IF(AND('Input data (2)'!$C$2=1,$A14&gt;=0),OFFSET('Input data (2)'!BB$126,'Input data (2)'!$BL$1-$A14,0),""))))</f>
        <v>3628</v>
      </c>
      <c r="BC27" s="1">
        <f ca="1">IF(AND('Input data (2)'!$C$2=4,$D14&gt;=0),OFFSET('Input data (2)'!AY$126,'Input data (2)'!$BL$1-$D14,0),IF(AND('Input data (2)'!$C$2=3,$C14&gt;=0),OFFSET('Input data (2)'!AY$126,'Input data (2)'!$BL$1-$C14,0),IF(AND('Input data (2)'!$C$2=2,$B14&gt;=0),OFFSET('Input data (2)'!AY$126,'Input data (2)'!$BL$1-$B14,0),IF(AND('Input data (2)'!$C$2=1,$A14&gt;=0),OFFSET('Input data (2)'!AY$126,'Input data (2)'!$BL$1-$A14,0),""))))</f>
        <v>1496</v>
      </c>
      <c r="BD27" s="1" t="str">
        <f ca="1">IF(AND('Input data (2)'!$C$2=4,$D14&gt;=0),OFFSET('Input data (2)'!AZ$126,'Input data (2)'!$BL$1-$D14,0),IF(AND('Input data (2)'!$C$2=3,$C14&gt;=0),OFFSET('Input data (2)'!AZ$126,'Input data (2)'!$BL$1-$C14,0),IF(AND('Input data (2)'!$C$2=2,$B14&gt;=0),OFFSET('Input data (2)'!AZ$126,'Input data (2)'!$BL$1-$B14,0),IF(AND('Input data (2)'!$C$2=1,$A14&gt;=0),OFFSET('Input data (2)'!AZ$126,'Input data (2)'!$BL$1-$A14,0),""))))</f>
        <v>:</v>
      </c>
      <c r="BE27" s="1">
        <f ca="1">IF(AND('Input data (2)'!$C$2=4,$D14&gt;=0),OFFSET('Input data (2)'!BA$126,'Input data (2)'!$BL$1-$D14,0),IF(AND('Input data (2)'!$C$2=3,$C14&gt;=0),OFFSET('Input data (2)'!BA$126,'Input data (2)'!$BL$1-$C14,0),IF(AND('Input data (2)'!$C$2=2,$B14&gt;=0),OFFSET('Input data (2)'!BA$126,'Input data (2)'!$BL$1-$B14,0),IF(AND('Input data (2)'!$C$2=1,$A14&gt;=0),OFFSET('Input data (2)'!BA$126,'Input data (2)'!$BL$1-$A14,0),""))))</f>
        <v>2132</v>
      </c>
      <c r="BF27" s="1">
        <f ca="1">IF(AND('Input data (2)'!$C$2=4,$D14&gt;=0),OFFSET('Input data (2)'!AP$126,'Input data (2)'!$BL$1-$D14,0),IF(AND('Input data (2)'!$C$2=3,$C14&gt;=0),OFFSET('Input data (2)'!AP$126,'Input data (2)'!$BL$1-$C14,0),IF(AND('Input data (2)'!$C$2=2,$B14&gt;=0),OFFSET('Input data (2)'!AP$126,'Input data (2)'!$BL$1-$B14,0),IF(AND('Input data (2)'!$C$2=1,$A14&gt;=0),OFFSET('Input data (2)'!AP$126,'Input data (2)'!$BL$1-$A14,0),""))))</f>
        <v>151</v>
      </c>
      <c r="BG27" s="1">
        <f ca="1">IF(AND('Input data (2)'!$C$2=4,$D14&gt;=0),OFFSET('Input data (2)'!AN$126,'Input data (2)'!$BL$1-$D14,0),IF(AND('Input data (2)'!$C$2=3,$C14&gt;=0),OFFSET('Input data (2)'!AN$126,'Input data (2)'!$BL$1-$C14,0),IF(AND('Input data (2)'!$C$2=2,$B14&gt;=0),OFFSET('Input data (2)'!AN$126,'Input data (2)'!$BL$1-$B14,0),IF(AND('Input data (2)'!$C$2=1,$A14&gt;=0),OFFSET('Input data (2)'!AN$126,'Input data (2)'!$BL$1-$A14,0),""))))</f>
        <v>115</v>
      </c>
      <c r="BH27" s="1">
        <f ca="1">IF(AND('Input data (2)'!$C$2=4,$D14&gt;=0),OFFSET('Input data (2)'!AO$126,'Input data (2)'!$BL$1-$D14,0),IF(AND('Input data (2)'!$C$2=3,$C14&gt;=0),OFFSET('Input data (2)'!AO$126,'Input data (2)'!$BL$1-$C14,0),IF(AND('Input data (2)'!$C$2=2,$B14&gt;=0),OFFSET('Input data (2)'!AO$126,'Input data (2)'!$BL$1-$B14,0),IF(AND('Input data (2)'!$C$2=1,$A14&gt;=0),OFFSET('Input data (2)'!AO$126,'Input data (2)'!$BL$1-$A14,0),""))))</f>
        <v>36</v>
      </c>
      <c r="BJ27" s="1">
        <f ca="1">IF(AND('Input data (2)'!$C$2=4,$D14&gt;=0),OFFSET('Input data (2)'!AU$126,'Input data (2)'!$BL$1-$D14,0),IF(AND('Input data (2)'!$C$2=3,$C14&gt;=0),OFFSET('Input data (2)'!AU$126,'Input data (2)'!$BL$1-$C14,0),IF(AND('Input data (2)'!$C$2=2,$B14&gt;=0),OFFSET('Input data (2)'!AU$126,'Input data (2)'!$BL$1-$B14,0),IF(AND('Input data (2)'!$C$2=1,$A14&gt;=0),OFFSET('Input data (2)'!AU$126,'Input data (2)'!$BL$1-$A14,0),""))))</f>
        <v>12</v>
      </c>
      <c r="BK27" s="1">
        <f ca="1">IF(AND('Input data (2)'!$C$2=4,$D14&gt;=0),OFFSET('Input data (2)'!AV$126,'Input data (2)'!$BL$1-$D14,0),IF(AND('Input data (2)'!$C$2=3,$C14&gt;=0),OFFSET('Input data (2)'!AV$126,'Input data (2)'!$BL$1-$C14,0),IF(AND('Input data (2)'!$C$2=2,$B14&gt;=0),OFFSET('Input data (2)'!AV$126,'Input data (2)'!$BL$1-$B14,0),IF(AND('Input data (2)'!$C$2=1,$A14&gt;=0),OFFSET('Input data (2)'!AV$126,'Input data (2)'!$BL$1-$A14,0),""))))</f>
        <v>0</v>
      </c>
      <c r="BL27" s="1">
        <f ca="1">IF(AND('Input data (2)'!$C$2=4,$D14&gt;=0),OFFSET('Input data (2)'!AW$126,'Input data (2)'!$BL$1-$D14,0),IF(AND('Input data (2)'!$C$2=3,$C14&gt;=0),OFFSET('Input data (2)'!AW$126,'Input data (2)'!$BL$1-$C14,0),IF(AND('Input data (2)'!$C$2=2,$B14&gt;=0),OFFSET('Input data (2)'!AW$126,'Input data (2)'!$BL$1-$B14,0),IF(AND('Input data (2)'!$C$2=1,$A14&gt;=0),OFFSET('Input data (2)'!AW$126,'Input data (2)'!$BL$1-$A14,0),""))))</f>
        <v>19</v>
      </c>
      <c r="BM27" s="1">
        <f ca="1">IF(AND('Input data (2)'!$C$2=4,$D14&gt;=0),OFFSET('Input data (2)'!AX$126,'Input data (2)'!$BL$1-$D14,0),IF(AND('Input data (2)'!$C$2=3,$C14&gt;=0),OFFSET('Input data (2)'!AX$126,'Input data (2)'!$BL$1-$C14,0),IF(AND('Input data (2)'!$C$2=2,$B14&gt;=0),OFFSET('Input data (2)'!AX$126,'Input data (2)'!$BL$1-$B14,0),IF(AND('Input data (2)'!$C$2=1,$A14&gt;=0),OFFSET('Input data (2)'!AX$126,'Input data (2)'!$BL$1-$A14,0),""))))</f>
        <v>2</v>
      </c>
      <c r="BO27" s="1">
        <f ca="1">IF(AND('Input data (2)'!$C$2=4,$D14&gt;=0),OFFSET('Input data (2)'!BL$126,'Input data (2)'!$BL$1-$D14,0),IF(AND('Input data (2)'!$C$2=3,$C14&gt;=0),OFFSET('Input data (2)'!BL$126,'Input data (2)'!$BL$1-$C14,0),IF(AND('Input data (2)'!$C$2=2,$B14&gt;=0),OFFSET('Input data (2)'!BL$126,'Input data (2)'!$BL$1-$B14,0),IF(AND('Input data (2)'!$C$2=1,$A14&gt;=0),OFFSET('Input data (2)'!BL$126,'Input data (2)'!$BL$1-$A14,0),""))))</f>
        <v>320</v>
      </c>
      <c r="BP27" s="1">
        <f ca="1">IF(AND('Input data (2)'!$C$2=4,$D14&gt;=0),OFFSET('Input data (2)'!BI$126,'Input data (2)'!$BL$1-$D14,0),IF(AND('Input data (2)'!$C$2=3,$C14&gt;=0),OFFSET('Input data (2)'!BI$126,'Input data (2)'!$BL$1-$C14,0),IF(AND('Input data (2)'!$C$2=2,$B14&gt;=0),OFFSET('Input data (2)'!BI$126,'Input data (2)'!$BL$1-$B14,0),IF(AND('Input data (2)'!$C$2=1,$A14&gt;=0),OFFSET('Input data (2)'!BI$126,'Input data (2)'!$BL$1-$A14,0),""))))</f>
        <v>193</v>
      </c>
      <c r="BQ27" s="1" t="str">
        <f ca="1">IF(AND('Input data (2)'!$C$2=4,$D14&gt;=0),OFFSET('Input data (2)'!BK$126,'Input data (2)'!$BL$1-$D14,0),IF(AND('Input data (2)'!$C$2=3,$C14&gt;=0),OFFSET('Input data (2)'!BK$126,'Input data (2)'!$BL$1-$C14,0),IF(AND('Input data (2)'!$C$2=2,$B14&gt;=0),OFFSET('Input data (2)'!BK$126,'Input data (2)'!$BL$1-$B14,0),IF(AND('Input data (2)'!$C$2=1,$A14&gt;=0),OFFSET('Input data (2)'!BK$126,'Input data (2)'!$BL$1-$A14,0),""))))</f>
        <v>..</v>
      </c>
      <c r="BR27" s="1">
        <f ca="1">IF(AND('Input data (2)'!$C$2=4,$D14&gt;=0),OFFSET('Input data (2)'!BJ$126,'Input data (2)'!$BL$1-$D14,0),IF(AND('Input data (2)'!$C$2=3,$C14&gt;=0),OFFSET('Input data (2)'!BJ$126,'Input data (2)'!$BL$1-$C14,0),IF(AND('Input data (2)'!$C$2=2,$B14&gt;=0),OFFSET('Input data (2)'!BJ$126,'Input data (2)'!$BL$1-$B14,0),IF(AND('Input data (2)'!$C$2=1,$A14&gt;=0),OFFSET('Input data (2)'!BJ$126,'Input data (2)'!$BL$1-$A14,0),""))))</f>
        <v>127</v>
      </c>
      <c r="BS27" s="1">
        <f ca="1">IF(AND('Input data (2)'!$C$2=4,$D14&gt;=0),OFFSET('Input data (2)'!BF$126,'Input data (2)'!$BL$1-$D14,0),IF(AND('Input data (2)'!$C$2=3,$C14&gt;=0),OFFSET('Input data (2)'!BF$126,'Input data (2)'!$BL$1-$C14,0),IF(AND('Input data (2)'!$C$2=2,$B14&gt;=0),OFFSET('Input data (2)'!BF$126,'Input data (2)'!$BL$1-$B14,0),IF(AND('Input data (2)'!$C$2=1,$A14&gt;=0),OFFSET('Input data (2)'!BF$126,'Input data (2)'!$BL$1-$A14,0),""))))</f>
        <v>31</v>
      </c>
      <c r="BT27" s="1">
        <f ca="1">IF(AND('Input data (2)'!$C$2=4,$D14&gt;=0),OFFSET('Input data (2)'!BD$126,'Input data (2)'!$BL$1-$D14,0),IF(AND('Input data (2)'!$C$2=3,$C14&gt;=0),OFFSET('Input data (2)'!BD$126,'Input data (2)'!$BL$1-$C14,0),IF(AND('Input data (2)'!$C$2=2,$B14&gt;=0),OFFSET('Input data (2)'!BD$126,'Input data (2)'!$BL$1-$B14,0),IF(AND('Input data (2)'!$C$2=1,$A14&gt;=0),OFFSET('Input data (2)'!BD$126,'Input data (2)'!$BL$1-$A14,0),""))))</f>
        <v>19</v>
      </c>
      <c r="BU27" s="1">
        <f ca="1">IF(AND('Input data (2)'!$C$2=4,$D14&gt;=0),OFFSET('Input data (2)'!BE$126,'Input data (2)'!$BL$1-$D14,0),IF(AND('Input data (2)'!$C$2=3,$C14&gt;=0),OFFSET('Input data (2)'!BE$126,'Input data (2)'!$BL$1-$C14,0),IF(AND('Input data (2)'!$C$2=2,$B14&gt;=0),OFFSET('Input data (2)'!BE$126,'Input data (2)'!$BL$1-$B14,0),IF(AND('Input data (2)'!$C$2=1,$A14&gt;=0),OFFSET('Input data (2)'!BE$126,'Input data (2)'!$BL$1-$A14,0),""))))</f>
        <v>12</v>
      </c>
      <c r="BW27" s="7">
        <f ca="1">IF(AND('Input data (2)'!$C$2=4,$D14&gt;=0),OFFSET('Input data (2)'!J$126,'Input data (2)'!$BL$1-$D14,0),IF(AND('Input data (2)'!$C$2=3,$C14&gt;=0),OFFSET('Input data (2)'!J$126,'Input data (2)'!$BL$1-$C14,0),IF(AND('Input data (2)'!$C$2=2,$B14&gt;=0),OFFSET('Input data (2)'!J$126,'Input data (2)'!$BL$1-$B14,0),IF(AND('Input data (2)'!$C$2=1,$A14&gt;=0),OFFSET('Input data (2)'!J$126,'Input data (2)'!$BL$1-$A14,0),""))))</f>
        <v>0.70890811605551629</v>
      </c>
      <c r="BX27" s="7">
        <f ca="1">IF(AND('Input data (2)'!$C$2=4,$D14&gt;=0),OFFSET('Input data (2)'!K$126,'Input data (2)'!$BL$1-$D14,0),IF(AND('Input data (2)'!$C$2=3,$C14&gt;=0),OFFSET('Input data (2)'!K$126,'Input data (2)'!$BL$1-$C14,0),IF(AND('Input data (2)'!$C$2=2,$B14&gt;=0),OFFSET('Input data (2)'!K$126,'Input data (2)'!$BL$1-$B14,0),IF(AND('Input data (2)'!$C$2=1,$A14&gt;=0),OFFSET('Input data (2)'!K$126,'Input data (2)'!$BL$1-$A14,0),""))))</f>
        <v>0.64815787596640084</v>
      </c>
      <c r="BY27" s="7">
        <f ca="1">IF(AND('Input data (2)'!$C$2=4,$D14&gt;=0),OFFSET('Input data (2)'!AS$126,'Input data (2)'!$BL$1-$D14,0),IF(AND('Input data (2)'!$C$2=3,$C14&gt;=0),OFFSET('Input data (2)'!AS$126,'Input data (2)'!$BL$1-$C14,0),IF(AND('Input data (2)'!$C$2=2,$B14&gt;=0),OFFSET('Input data (2)'!AS$126,'Input data (2)'!$BL$1-$B14,0),IF(AND('Input data (2)'!$C$2=1,$A14&gt;=0),OFFSET('Input data (2)'!AS$126,'Input data (2)'!$BL$1-$A14,0),""))))</f>
        <v>0.56725397992635862</v>
      </c>
      <c r="BZ27" s="7">
        <f ca="1">IF(AND('Input data (2)'!$C$2=4,$D14&gt;=0),OFFSET('Input data (2)'!AT$126,'Input data (2)'!$BL$1-$D14,0),IF(AND('Input data (2)'!$C$2=3,$C14&gt;=0),OFFSET('Input data (2)'!AT$126,'Input data (2)'!$BL$1-$C14,0),IF(AND('Input data (2)'!$C$2=2,$B14&gt;=0),OFFSET('Input data (2)'!AT$126,'Input data (2)'!$BL$1-$B14,0),IF(AND('Input data (2)'!$C$2=1,$A14&gt;=0),OFFSET('Input data (2)'!AT$126,'Input data (2)'!$BL$1-$A14,0),""))))</f>
        <v>0.5204646731042738</v>
      </c>
      <c r="CB27" s="122"/>
      <c r="CC27" s="122"/>
      <c r="CD27" s="122"/>
      <c r="CE27" s="122"/>
      <c r="CG27" s="1">
        <v>17</v>
      </c>
      <c r="CI27" s="1">
        <f t="shared" ca="1" si="24"/>
        <v>2009</v>
      </c>
      <c r="CJ27" s="1" t="str">
        <f t="shared" si="25"/>
        <v>Q1</v>
      </c>
      <c r="CK27" s="1" t="str">
        <f t="shared" ca="1" si="12"/>
        <v>09</v>
      </c>
      <c r="CL27" s="1" t="str">
        <f t="shared" ca="1" si="13"/>
        <v>Q1 09</v>
      </c>
      <c r="CM27" s="1">
        <f ca="1">OFFSET('Input data (2)'!AJ$126,'Input data (2)'!$BL$1-'Output data - DO NOT TOUCH (2)'!$CG27,0)/1000</f>
        <v>18.957999999999998</v>
      </c>
      <c r="CN27" s="1">
        <f ca="1">OFFSET('Input data (2)'!AK$126,'Input data (2)'!$BL$1-'Output data - DO NOT TOUCH (2)'!$CG27,0)/1000</f>
        <v>10.722</v>
      </c>
      <c r="CO27" s="1">
        <f ca="1">OFFSET('Input data (2)'!AL$126,'Input data (2)'!$BL$1-'Output data - DO NOT TOUCH (2)'!$CG27,0)/1000</f>
        <v>29.68</v>
      </c>
      <c r="CP27" s="1"/>
      <c r="CQ27" s="1">
        <f ca="1">OFFSET('Input data (2)'!AG$126,'Input data (2)'!$BL$1-'Output data - DO NOT TOUCH (2)'!$CG27,0)/1000</f>
        <v>1.522</v>
      </c>
      <c r="CR27" s="1">
        <f ca="1">OFFSET('Input data (2)'!AH$126,'Input data (2)'!$BL$1-'Output data - DO NOT TOUCH (2)'!$CG27,0)/1000</f>
        <v>3.3610000000000002</v>
      </c>
      <c r="CS27" s="1">
        <f ca="1">OFFSET('Input data (2)'!AI$126,'Input data (2)'!$BL$1-'Output data - DO NOT TOUCH (2)'!$CG27,0)/1000</f>
        <v>4.883</v>
      </c>
      <c r="CT27" s="1"/>
      <c r="CU27" s="1">
        <f ca="1">OFFSET('Input data (2)'!L$126,'Input data (2)'!$BL$1-'Output data - DO NOT TOUCH (2)'!$CG27,0)</f>
        <v>316</v>
      </c>
      <c r="CV27" s="1">
        <f ca="1">OFFSET('Input data (2)'!M$126,'Input data (2)'!$BL$1-'Output data - DO NOT TOUCH (2)'!$CG27,0)</f>
        <v>0</v>
      </c>
      <c r="CW27" s="67">
        <f ca="1">OFFSET('Input data (2)'!N$126,'Input data (2)'!$BL$1-'Output data - DO NOT TOUCH (2)'!$CG27,0)</f>
        <v>1311</v>
      </c>
      <c r="CX27" s="1">
        <f ca="1">OFFSET('Input data (2)'!P$126,'Input data (2)'!$BL$1-'Output data - DO NOT TOUCH (2)'!$CG27,0)</f>
        <v>156</v>
      </c>
      <c r="CY27" s="1"/>
      <c r="CZ27" s="1">
        <f ca="1">OFFSET('Input data (2)'!AY$126,'Input data (2)'!$BL$1-'Output data - DO NOT TOUCH (2)'!$CG27,0)/1000</f>
        <v>3.7719999999999998</v>
      </c>
      <c r="DA27" s="1">
        <f ca="1">OFFSET('Input data (2)'!BA$126,'Input data (2)'!$BL$1-'Output data - DO NOT TOUCH (2)'!$CG27,0)/1000</f>
        <v>1.9710000000000001</v>
      </c>
      <c r="DB27" s="1">
        <f ca="1">OFFSET('Input data (2)'!BB$126,'Input data (2)'!$BL$1-'Output data - DO NOT TOUCH (2)'!$CG27,0)/1000</f>
        <v>5.7430000000000003</v>
      </c>
      <c r="DD27" s="1">
        <f ca="1">OFFSET('Input data (2)'!AN$126,'Input data (2)'!$BL$1-'Output data - DO NOT TOUCH (2)'!$CG27,0)</f>
        <v>124</v>
      </c>
      <c r="DE27" s="1">
        <f ca="1">OFFSET('Input data (2)'!AO$126,'Input data (2)'!$BL$1-'Output data - DO NOT TOUCH (2)'!$CG27,0)</f>
        <v>37</v>
      </c>
      <c r="DF27" s="1">
        <f ca="1">OFFSET('Input data (2)'!AP$126,'Input data (2)'!$BL$1-'Output data - DO NOT TOUCH (2)'!$CG27,0)</f>
        <v>161</v>
      </c>
      <c r="DG27" s="1"/>
      <c r="DH27" s="1">
        <f ca="1">OFFSET('Input data (2)'!AU$126,'Input data (2)'!$BL$1-'Output data - DO NOT TOUCH (2)'!$CG27,0)</f>
        <v>9</v>
      </c>
      <c r="DI27" s="1">
        <f ca="1">OFFSET('Input data (2)'!AV$126,'Input data (2)'!$BL$1-'Output data - DO NOT TOUCH (2)'!$CG27,0)</f>
        <v>0</v>
      </c>
      <c r="DJ27" s="1">
        <f ca="1">OFFSET('Input data (2)'!AW$126,'Input data (2)'!$BL$1-'Output data - DO NOT TOUCH (2)'!$CG27,0)</f>
        <v>67</v>
      </c>
      <c r="DK27" s="1">
        <f ca="1">OFFSET('Input data (2)'!AX$126,'Input data (2)'!$BL$1-'Output data - DO NOT TOUCH (2)'!$CG27,0)</f>
        <v>2</v>
      </c>
      <c r="DM27" s="1">
        <f ca="1">OFFSET('Input data (2)'!BI$126,'Input data (2)'!$BL$1-'Output data - DO NOT TOUCH (2)'!$CG27,0)</f>
        <v>302</v>
      </c>
      <c r="DN27" s="1">
        <f ca="1">OFFSET('Input data (2)'!BJ$126,'Input data (2)'!$BL$1-'Output data - DO NOT TOUCH (2)'!$CG27,0)</f>
        <v>144</v>
      </c>
      <c r="DO27" s="1">
        <f ca="1">OFFSET('Input data (2)'!BL$126,'Input data (2)'!$BL$1-'Output data - DO NOT TOUCH (2)'!$CG27,0)</f>
        <v>446</v>
      </c>
      <c r="DQ27" s="1">
        <f ca="1">OFFSET('Input data (2)'!BD$126,'Input data (2)'!$BL$1-'Output data - DO NOT TOUCH (2)'!$CG27,0)</f>
        <v>34</v>
      </c>
      <c r="DR27" s="1">
        <f ca="1">OFFSET('Input data (2)'!BE$126,'Input data (2)'!$BL$1-'Output data - DO NOT TOUCH (2)'!$CG27,0)</f>
        <v>23</v>
      </c>
      <c r="DS27" s="1">
        <f ca="1">OFFSET('Input data (2)'!BF$126,'Input data (2)'!$BL$1-'Output data - DO NOT TOUCH (2)'!$CG27,0)</f>
        <v>57</v>
      </c>
      <c r="DU27" s="1">
        <f ca="1">OFFSET('Input data (2)'!B$126,'Input data (2)'!$BL$1-'Output data - DO NOT TOUCH (2)'!$CG27-1,0)</f>
        <v>2008</v>
      </c>
      <c r="DV27" s="1" t="str">
        <f ca="1">OFFSET('Input data (2)'!C$126,'Input data (2)'!$BL$1-'Output data - DO NOT TOUCH (2)'!$CG27-1,0)</f>
        <v>Q4</v>
      </c>
      <c r="DW27" s="1" t="str">
        <f t="shared" ca="1" si="14"/>
        <v>08</v>
      </c>
      <c r="DX27" s="1" t="str">
        <f t="shared" ca="1" si="15"/>
        <v>Q4 08</v>
      </c>
      <c r="DY27" s="1">
        <f ca="1">OFFSET('Input data (2)'!W$126,'Input data (2)'!$BL$1-'Output data - DO NOT TOUCH (2)'!$CG27-1,0)/1000</f>
        <v>2.3250000000000002</v>
      </c>
      <c r="DZ27" s="1">
        <f ca="1">OFFSET('Input data (2)'!Y$126,'Input data (2)'!$BL$1-'Output data - DO NOT TOUCH (2)'!$CG27-1,0)/1000</f>
        <v>15.679</v>
      </c>
      <c r="EA27" s="1">
        <f ca="1">OFFSET('Input data (2)'!Q$126,'Input data (2)'!$BL$1-'Output data - DO NOT TOUCH (2)'!$CG27-1,0)/1000</f>
        <v>18.004000000000001</v>
      </c>
    </row>
    <row r="28" spans="1:140" x14ac:dyDescent="0.15">
      <c r="A28" s="1">
        <v>16</v>
      </c>
      <c r="B28" s="1">
        <v>17</v>
      </c>
      <c r="C28" s="1">
        <v>18</v>
      </c>
      <c r="D28" s="1">
        <v>15</v>
      </c>
      <c r="E28" s="1" t="str">
        <f>F28&amp;G28</f>
        <v>2005Q4</v>
      </c>
      <c r="F28" s="1">
        <f>F23+1</f>
        <v>2005</v>
      </c>
      <c r="G28" s="1" t="s">
        <v>4</v>
      </c>
      <c r="H28" s="1">
        <f>VLOOKUP($E28,'Input data (2)'!$A:$BL,'Output data - DO NOT TOUCH (2)'!H$71,FALSE)</f>
        <v>3170</v>
      </c>
      <c r="I28" s="1">
        <f>VLOOKUP($E28,'Input data (2)'!$A:$BL,'Output data - DO NOT TOUCH (2)'!I$71,FALSE)</f>
        <v>1256</v>
      </c>
      <c r="J28" s="1">
        <f>VLOOKUP($E28,'Input data (2)'!$A:$BL,'Output data - DO NOT TOUCH (2)'!J$71,FALSE)</f>
        <v>1914</v>
      </c>
      <c r="K28" s="1">
        <f>VLOOKUP($E28,'Input data (2)'!$A:$BL,'Output data - DO NOT TOUCH (2)'!K$71,FALSE)</f>
        <v>3220</v>
      </c>
      <c r="L28" s="1">
        <f>VLOOKUP($E28,'Input data (2)'!$A:$BL,'Output data - DO NOT TOUCH (2)'!L$71,FALSE)</f>
        <v>1254</v>
      </c>
      <c r="M28" s="1">
        <f>VLOOKUP($E28,'Input data (2)'!$A:$BL,'Output data - DO NOT TOUCH (2)'!M$71,FALSE)</f>
        <v>1966</v>
      </c>
      <c r="O28" s="119">
        <f ca="1">IF(AND('Input data (2)'!$C$2=4,$D15&gt;=0),OFFSET('Input data (2)'!O$126,'Input data (2)'!$BL$1-$D15,0),IF(AND('Input data (2)'!$C$2=3,$C15&gt;=0),OFFSET('Input data (2)'!O$126,'Input data (2)'!$BL$1-$C15,0),IF(AND('Input data (2)'!$C$2=2,$B15&gt;=0),OFFSET('Input data (2)'!O$126,'Input data (2)'!$BL$1-$B15,0),IF(AND('Input data (2)'!$C$2=1,$A15&gt;=0),OFFSET('Input data (2)'!O$126,'Input data (2)'!$BL$1-$A15,0),""))))</f>
        <v>181</v>
      </c>
      <c r="Q28" s="1">
        <f ca="1">IF(AND('Input data (2)'!$C$2=4,$D15&gt;=0),OFFSET('Input data (2)'!AC$126,'Input data (2)'!$BL$1-$D15,0),IF(AND('Input data (2)'!$C$2=3,$C15&gt;=0),OFFSET('Input data (2)'!AC$126,'Input data (2)'!$BL$1-$C15,0),IF(AND('Input data (2)'!$C$2=2,$B15&gt;=0),OFFSET('Input data (2)'!AC$126,'Input data (2)'!$BL$1-$B15,0),IF(AND('Input data (2)'!$C$2=1,$A15&gt;=0),OFFSET('Input data (2)'!AC$126,'Input data (2)'!$BL$1-$A15,0),""))))</f>
        <v>19511</v>
      </c>
      <c r="R28" s="1">
        <f ca="1">IF(AND('Input data (2)'!$C$2=4,$D15&gt;=0),OFFSET('Input data (2)'!Q$126,'Input data (2)'!$BL$1-$D15,0),IF(AND('Input data (2)'!$C$2=3,$C15&gt;=0),OFFSET('Input data (2)'!Q$126,'Input data (2)'!$BL$1-$C15,0),IF(AND('Input data (2)'!$C$2=2,$B15&gt;=0),OFFSET('Input data (2)'!Q$126,'Input data (2)'!$BL$1-$B15,0),IF(AND('Input data (2)'!$C$2=1,$A15&gt;=0),OFFSET('Input data (2)'!Q$126,'Input data (2)'!$BL$1-$A15,0),""))))</f>
        <v>12509</v>
      </c>
      <c r="S28" s="1" t="str">
        <f ca="1">IF(AND('Input data (2)'!$C$2=4,$D15&gt;=0),OFFSET('Input data (2)'!R$126,'Input data (2)'!$BL$1-$D15,0),IF(AND('Input data (2)'!$C$2=3,$C15&gt;=0),OFFSET('Input data (2)'!R$126,'Input data (2)'!$BL$1-$C15,0),IF(AND('Input data (2)'!$C$2=2,$B15&gt;=0),OFFSET('Input data (2)'!R$126,'Input data (2)'!$BL$1-$B15,0),IF(AND('Input data (2)'!$C$2=1,$A15&gt;=0),OFFSET('Input data (2)'!R$126,'Input data (2)'!$BL$1-$A15,0),""))))</f>
        <v>:</v>
      </c>
      <c r="T28" s="1">
        <f ca="1">IF(AND('Input data (2)'!$C$2=4,$D15&gt;=0),OFFSET('Input data (2)'!AA$126,'Input data (2)'!$BL$1-$D15,0),IF(AND('Input data (2)'!$C$2=3,$C15&gt;=0),OFFSET('Input data (2)'!AA$126,'Input data (2)'!$BL$1-$C15,0),IF(AND('Input data (2)'!$C$2=2,$B15&gt;=0),OFFSET('Input data (2)'!AA$126,'Input data (2)'!$BL$1-$B15,0),IF(AND('Input data (2)'!$C$2=1,$A15&gt;=0),OFFSET('Input data (2)'!AA$126,'Input data (2)'!$BL$1-$A15,0),""))))</f>
        <v>7002</v>
      </c>
      <c r="U28" s="1">
        <f ca="1">IF(AND('Input data (2)'!$C$2=4,$D15&gt;=0),OFFSET('Input data (2)'!AL$126,'Input data (2)'!$BL$1-$D15,0),IF(AND('Input data (2)'!$C$2=3,$C15&gt;=0),OFFSET('Input data (2)'!AL$126,'Input data (2)'!$BL$1-$C15,0),IF(AND('Input data (2)'!$C$2=2,$B15&gt;=0),OFFSET('Input data (2)'!AL$126,'Input data (2)'!$BL$1-$B15,0),IF(AND('Input data (2)'!$C$2=1,$A15&gt;=0),OFFSET('Input data (2)'!AL$126,'Input data (2)'!$BL$1-$A15,0),""))))</f>
        <v>20352</v>
      </c>
      <c r="V28" s="1">
        <f ca="1">IF(AND('Input data (2)'!$C$2=4,$D15&gt;=0),OFFSET('Input data (2)'!AJ$126,'Input data (2)'!$BL$1-$D15,0),IF(AND('Input data (2)'!$C$2=3,$C15&gt;=0),OFFSET('Input data (2)'!AJ$126,'Input data (2)'!$BL$1-$C15,0),IF(AND('Input data (2)'!$C$2=2,$B15&gt;=0),OFFSET('Input data (2)'!AJ$126,'Input data (2)'!$BL$1-$B15,0),IF(AND('Input data (2)'!$C$2=1,$A15&gt;=0),OFFSET('Input data (2)'!AJ$126,'Input data (2)'!$BL$1-$A15,0),""))))</f>
        <v>13395</v>
      </c>
      <c r="W28" s="1">
        <f ca="1">IF(AND('Input data (2)'!$C$2=4,$D15&gt;=0),OFFSET('Input data (2)'!AK$126,'Input data (2)'!$BL$1-$D15,0),IF(AND('Input data (2)'!$C$2=3,$C15&gt;=0),OFFSET('Input data (2)'!AK$126,'Input data (2)'!$BL$1-$C15,0),IF(AND('Input data (2)'!$C$2=2,$B15&gt;=0),OFFSET('Input data (2)'!AK$126,'Input data (2)'!$BL$1-$B15,0),IF(AND('Input data (2)'!$C$2=1,$A15&gt;=0),OFFSET('Input data (2)'!AK$126,'Input data (2)'!$BL$1-$A15,0),""))))</f>
        <v>6957</v>
      </c>
      <c r="Y28" s="1">
        <f ca="1">IF(AND('Input data (2)'!$C$2=4,$D15&gt;=0),OFFSET('Input data (2)'!Q$126,'Input data (2)'!$BL$1-$D15,0),IF(AND('Input data (2)'!$C$2=3,$C15&gt;=0),OFFSET('Input data (2)'!Q$126,'Input data (2)'!$BL$1-$C15,0),IF(AND('Input data (2)'!$C$2=2,$B15&gt;=0),OFFSET('Input data (2)'!Q$126,'Input data (2)'!$BL$1-$B15,0),IF(AND('Input data (2)'!$C$2=1,$A15&gt;=0),OFFSET('Input data (2)'!Q$126,'Input data (2)'!$BL$1-$A15,0),""))))</f>
        <v>12509</v>
      </c>
      <c r="Z28" s="1">
        <f ca="1">IF(AND('Input data (2)'!$C$2=4,$D15&gt;=0),OFFSET('Input data (2)'!S$126,'Input data (2)'!$BL$1-$D15,0),IF(AND('Input data (2)'!$C$2=3,$C15&gt;=0),OFFSET('Input data (2)'!S$126,'Input data (2)'!$BL$1-$C15,0),IF(AND('Input data (2)'!$C$2=2,$B15&gt;=0),OFFSET('Input data (2)'!S$126,'Input data (2)'!$BL$1-$B15,0),IF(AND('Input data (2)'!$C$2=1,$A15&gt;=0),OFFSET('Input data (2)'!S$126,'Input data (2)'!$BL$1-$A15,0),""))))</f>
        <v>10170</v>
      </c>
      <c r="AA28" s="1">
        <f ca="1">IF(AND('Input data (2)'!$C$2=4,$D15&gt;=0),OFFSET('Input data (2)'!T$126,'Input data (2)'!$BL$1-$D15,0),IF(AND('Input data (2)'!$C$2=3,$C15&gt;=0),OFFSET('Input data (2)'!T$126,'Input data (2)'!$BL$1-$C15,0),IF(AND('Input data (2)'!$C$2=2,$B15&gt;=0),OFFSET('Input data (2)'!T$126,'Input data (2)'!$BL$1-$B15,0),IF(AND('Input data (2)'!$C$2=1,$A15&gt;=0),OFFSET('Input data (2)'!T$126,'Input data (2)'!$BL$1-$A15,0),""))))</f>
        <v>81.301462946678399</v>
      </c>
      <c r="AB28" s="1">
        <f ca="1">IF(AND('Input data (2)'!$C$2=4,$D15&gt;=0),OFFSET('Input data (2)'!U$126,'Input data (2)'!$BL$1-$D15,0),IF(AND('Input data (2)'!$C$2=3,$C15&gt;=0),OFFSET('Input data (2)'!U$126,'Input data (2)'!$BL$1-$C15,0),IF(AND('Input data (2)'!$C$2=2,$B15&gt;=0),OFFSET('Input data (2)'!U$126,'Input data (2)'!$BL$1-$B15,0),IF(AND('Input data (2)'!$C$2=1,$A15&gt;=0),OFFSET('Input data (2)'!U$126,'Input data (2)'!$BL$1-$A15,0),""))))</f>
        <v>2339</v>
      </c>
      <c r="AC28" s="1">
        <f ca="1">IF(AND('Input data (2)'!$C$2=4,$D15&gt;=0),OFFSET('Input data (2)'!V$126,'Input data (2)'!$BL$1-$D15,0),IF(AND('Input data (2)'!$C$2=3,$C15&gt;=0),OFFSET('Input data (2)'!V$126,'Input data (2)'!$BL$1-$C15,0),IF(AND('Input data (2)'!$C$2=2,$B15&gt;=0),OFFSET('Input data (2)'!V$126,'Input data (2)'!$BL$1-$B15,0),IF(AND('Input data (2)'!$C$2=1,$A15&gt;=0),OFFSET('Input data (2)'!V$126,'Input data (2)'!$BL$1-$A15,0),""))))</f>
        <v>18.698537053321608</v>
      </c>
      <c r="AD28" s="1">
        <f ca="1">IF(AND('Input data (2)'!$C$2=4,$D15&gt;=0),OFFSET('Input data (2)'!Q$126,'Input data (2)'!$BL$1-$D15,0),IF(AND('Input data (2)'!$C$2=3,$C15&gt;=0),OFFSET('Input data (2)'!Q$126,'Input data (2)'!$BL$1-$C15,0),IF(AND('Input data (2)'!$C$2=2,$B15&gt;=0),OFFSET('Input data (2)'!Q$126,'Input data (2)'!$BL$1-$B15,0),IF(AND('Input data (2)'!$C$2=1,$A15&gt;=0),OFFSET('Input data (2)'!Q$126,'Input data (2)'!$BL$1-$A15,0),""))))</f>
        <v>12509</v>
      </c>
      <c r="AE28" s="1">
        <f ca="1">IF(AND('Input data (2)'!$C$2=4,$D15&gt;=0),OFFSET('Input data (2)'!W$126,'Input data (2)'!$BL$1-$D15,0),IF(AND('Input data (2)'!$C$2=3,$C15&gt;=0),OFFSET('Input data (2)'!W$126,'Input data (2)'!$BL$1-$C15,0),IF(AND('Input data (2)'!$C$2=2,$B15&gt;=0),OFFSET('Input data (2)'!W$126,'Input data (2)'!$BL$1-$B15,0),IF(AND('Input data (2)'!$C$2=1,$A15&gt;=0),OFFSET('Input data (2)'!W$126,'Input data (2)'!$BL$1-$A15,0),""))))</f>
        <v>2708</v>
      </c>
      <c r="AF28" s="1">
        <f ca="1">IF(AND('Input data (2)'!$C$2=4,$D15&gt;=0),OFFSET('Input data (2)'!X$126,'Input data (2)'!$BL$1-$D15,0),IF(AND('Input data (2)'!$C$2=3,$C15&gt;=0),OFFSET('Input data (2)'!X$126,'Input data (2)'!$BL$1-$C15,0),IF(AND('Input data (2)'!$C$2=2,$B15&gt;=0),OFFSET('Input data (2)'!X$126,'Input data (2)'!$BL$1-$B15,0),IF(AND('Input data (2)'!$C$2=1,$A15&gt;=0),OFFSET('Input data (2)'!X$126,'Input data (2)'!$BL$1-$A15,0),""))))</f>
        <v>21.648413142537372</v>
      </c>
      <c r="AG28" s="1">
        <f ca="1">IF(AND('Input data (2)'!$C$2=4,$D15&gt;=0),OFFSET('Input data (2)'!Y$126,'Input data (2)'!$BL$1-$D15,0),IF(AND('Input data (2)'!$C$2=3,$C15&gt;=0),OFFSET('Input data (2)'!Y$126,'Input data (2)'!$BL$1-$C15,0),IF(AND('Input data (2)'!$C$2=2,$B15&gt;=0),OFFSET('Input data (2)'!Y$126,'Input data (2)'!$BL$1-$B15,0),IF(AND('Input data (2)'!$C$2=1,$A15&gt;=0),OFFSET('Input data (2)'!Y$126,'Input data (2)'!$BL$1-$A15,0),""))))</f>
        <v>9801</v>
      </c>
      <c r="AH28" s="1">
        <f ca="1">IF(AND('Input data (2)'!$C$2=4,$D15&gt;=0),OFFSET('Input data (2)'!Z$126,'Input data (2)'!$BL$1-$D15,0),IF(AND('Input data (2)'!$C$2=3,$C15&gt;=0),OFFSET('Input data (2)'!Z$126,'Input data (2)'!$BL$1-$C15,0),IF(AND('Input data (2)'!$C$2=2,$B15&gt;=0),OFFSET('Input data (2)'!Z$126,'Input data (2)'!$BL$1-$B15,0),IF(AND('Input data (2)'!$C$2=1,$A15&gt;=0),OFFSET('Input data (2)'!Z$126,'Input data (2)'!$BL$1-$A15,0),""))))</f>
        <v>78.351586857462635</v>
      </c>
      <c r="AI28" s="3"/>
      <c r="AJ28" s="124">
        <f ca="1">IF(AND('Input data (2)'!$C$2=4,$D15&gt;=0),OFFSET('Input data (2)'!AF$126,'Input data (2)'!$BL$1-$D15,0),IF(AND('Input data (2)'!$C$2=3,$C15&gt;=0),OFFSET('Input data (2)'!AF$126,'Input data (2)'!$BL$1-$C15,0),IF(AND('Input data (2)'!$C$2=2,$B15&gt;=0),OFFSET('Input data (2)'!AF$126,'Input data (2)'!$BL$1-$B15,0),IF(AND('Input data (2)'!$C$2=1,$A15&gt;=0),OFFSET('Input data (2)'!AF$126,'Input data (2)'!$BL$1-$A15,0),""))))</f>
        <v>2890</v>
      </c>
      <c r="AK28" s="124">
        <f ca="1">IF(AND('Input data (2)'!$C$2=4,$D15&gt;=0),OFFSET('Input data (2)'!AD$126,'Input data (2)'!$BL$1-$D15,0),IF(AND('Input data (2)'!$C$2=3,$C15&gt;=0),OFFSET('Input data (2)'!AD$126,'Input data (2)'!$BL$1-$C15,0),IF(AND('Input data (2)'!$C$2=2,$B15&gt;=0),OFFSET('Input data (2)'!AD$126,'Input data (2)'!$BL$1-$B15,0),IF(AND('Input data (2)'!$C$2=1,$A15&gt;=0),OFFSET('Input data (2)'!AD$126,'Input data (2)'!$BL$1-$A15,0),""))))</f>
        <v>21</v>
      </c>
      <c r="AL28" s="124">
        <f ca="1">IF(AND('Input data (2)'!$C$2=4,$D15&gt;=0),OFFSET('Input data (2)'!AE$126,'Input data (2)'!$BL$1-$D15,0),IF(AND('Input data (2)'!$C$2=3,$C15&gt;=0),OFFSET('Input data (2)'!AE$126,'Input data (2)'!$BL$1-$C15,0),IF(AND('Input data (2)'!$C$2=2,$B15&gt;=0),OFFSET('Input data (2)'!AE$126,'Input data (2)'!$BL$1-$B15,0),IF(AND('Input data (2)'!$C$2=1,$A15&gt;=0),OFFSET('Input data (2)'!AE$126,'Input data (2)'!$BL$1-$A15,0),""))))</f>
        <v>2869</v>
      </c>
      <c r="AW28" s="1">
        <f ca="1">IF(AND('Input data (2)'!$C$2=4,$D15&gt;=0),OFFSET('Input data (2)'!L$126,'Input data (2)'!$BL$1-$D15,0),IF(AND('Input data (2)'!$C$2=3,$C15&gt;=0),OFFSET('Input data (2)'!L$126,'Input data (2)'!$BL$1-$C15,0),IF(AND('Input data (2)'!$C$2=2,$B15&gt;=0),OFFSET('Input data (2)'!L$126,'Input data (2)'!$BL$1-$B15,0),IF(AND('Input data (2)'!$C$2=1,$A15&gt;=0),OFFSET('Input data (2)'!L$126,'Input data (2)'!$BL$1-$A15,0),""))))</f>
        <v>139</v>
      </c>
      <c r="AX28" s="1">
        <f ca="1">IF(AND('Input data (2)'!$C$2=4,$D15&gt;=0),OFFSET('Input data (2)'!M$126,'Input data (2)'!$BL$1-$D15,0),IF(AND('Input data (2)'!$C$2=3,$C15&gt;=0),OFFSET('Input data (2)'!M$126,'Input data (2)'!$BL$1-$C15,0),IF(AND('Input data (2)'!$C$2=2,$B15&gt;=0),OFFSET('Input data (2)'!M$126,'Input data (2)'!$BL$1-$B15,0),IF(AND('Input data (2)'!$C$2=1,$A15&gt;=0),OFFSET('Input data (2)'!M$126,'Input data (2)'!$BL$1-$A15,0),""))))</f>
        <v>0</v>
      </c>
      <c r="AY28" s="1">
        <f ca="1">IF(AND('Input data (2)'!$C$2=4,$D15&gt;=0),OFFSET('Input data (2)'!N$126,'Input data (2)'!$BL$1-$D15,0),IF(AND('Input data (2)'!$C$2=3,$C15&gt;=0),OFFSET('Input data (2)'!N$126,'Input data (2)'!$BL$1-$C15,0),IF(AND('Input data (2)'!$C$2=2,$B15&gt;=0),OFFSET('Input data (2)'!N$126,'Input data (2)'!$BL$1-$B15,0),IF(AND('Input data (2)'!$C$2=1,$A15&gt;=0),OFFSET('Input data (2)'!N$126,'Input data (2)'!$BL$1-$A15,0),""))))</f>
        <v>580</v>
      </c>
      <c r="AZ28" s="1">
        <f ca="1">IF(AND('Input data (2)'!$C$2=4,$D15&gt;=0),OFFSET('Input data (2)'!P$126,'Input data (2)'!$BL$1-$D15,0),IF(AND('Input data (2)'!$C$2=3,$C15&gt;=0),OFFSET('Input data (2)'!P$126,'Input data (2)'!$BL$1-$C15,0),IF(AND('Input data (2)'!$C$2=2,$B15&gt;=0),OFFSET('Input data (2)'!P$126,'Input data (2)'!$BL$1-$B15,0),IF(AND('Input data (2)'!$C$2=1,$A15&gt;=0),OFFSET('Input data (2)'!P$126,'Input data (2)'!$BL$1-$A15,0),""))))</f>
        <v>112</v>
      </c>
      <c r="BB28" s="1">
        <f ca="1">IF(AND('Input data (2)'!$C$2=4,$D15&gt;=0),OFFSET('Input data (2)'!BB$126,'Input data (2)'!$BL$1-$D15,0),IF(AND('Input data (2)'!$C$2=3,$C15&gt;=0),OFFSET('Input data (2)'!BB$126,'Input data (2)'!$BL$1-$C15,0),IF(AND('Input data (2)'!$C$2=2,$B15&gt;=0),OFFSET('Input data (2)'!BB$126,'Input data (2)'!$BL$1-$B15,0),IF(AND('Input data (2)'!$C$2=1,$A15&gt;=0),OFFSET('Input data (2)'!BB$126,'Input data (2)'!$BL$1-$A15,0),""))))</f>
        <v>2950</v>
      </c>
      <c r="BC28" s="1">
        <f ca="1">IF(AND('Input data (2)'!$C$2=4,$D15&gt;=0),OFFSET('Input data (2)'!AY$126,'Input data (2)'!$BL$1-$D15,0),IF(AND('Input data (2)'!$C$2=3,$C15&gt;=0),OFFSET('Input data (2)'!AY$126,'Input data (2)'!$BL$1-$C15,0),IF(AND('Input data (2)'!$C$2=2,$B15&gt;=0),OFFSET('Input data (2)'!AY$126,'Input data (2)'!$BL$1-$B15,0),IF(AND('Input data (2)'!$C$2=1,$A15&gt;=0),OFFSET('Input data (2)'!AY$126,'Input data (2)'!$BL$1-$A15,0),""))))</f>
        <v>1295</v>
      </c>
      <c r="BD28" s="1" t="str">
        <f ca="1">IF(AND('Input data (2)'!$C$2=4,$D15&gt;=0),OFFSET('Input data (2)'!AZ$126,'Input data (2)'!$BL$1-$D15,0),IF(AND('Input data (2)'!$C$2=3,$C15&gt;=0),OFFSET('Input data (2)'!AZ$126,'Input data (2)'!$BL$1-$C15,0),IF(AND('Input data (2)'!$C$2=2,$B15&gt;=0),OFFSET('Input data (2)'!AZ$126,'Input data (2)'!$BL$1-$B15,0),IF(AND('Input data (2)'!$C$2=1,$A15&gt;=0),OFFSET('Input data (2)'!AZ$126,'Input data (2)'!$BL$1-$A15,0),""))))</f>
        <v>:</v>
      </c>
      <c r="BE28" s="1">
        <f ca="1">IF(AND('Input data (2)'!$C$2=4,$D15&gt;=0),OFFSET('Input data (2)'!BA$126,'Input data (2)'!$BL$1-$D15,0),IF(AND('Input data (2)'!$C$2=3,$C15&gt;=0),OFFSET('Input data (2)'!BA$126,'Input data (2)'!$BL$1-$C15,0),IF(AND('Input data (2)'!$C$2=2,$B15&gt;=0),OFFSET('Input data (2)'!BA$126,'Input data (2)'!$BL$1-$B15,0),IF(AND('Input data (2)'!$C$2=1,$A15&gt;=0),OFFSET('Input data (2)'!BA$126,'Input data (2)'!$BL$1-$A15,0),""))))</f>
        <v>1655</v>
      </c>
      <c r="BF28" s="1">
        <f ca="1">IF(AND('Input data (2)'!$C$2=4,$D15&gt;=0),OFFSET('Input data (2)'!AP$126,'Input data (2)'!$BL$1-$D15,0),IF(AND('Input data (2)'!$C$2=3,$C15&gt;=0),OFFSET('Input data (2)'!AP$126,'Input data (2)'!$BL$1-$C15,0),IF(AND('Input data (2)'!$C$2=2,$B15&gt;=0),OFFSET('Input data (2)'!AP$126,'Input data (2)'!$BL$1-$B15,0),IF(AND('Input data (2)'!$C$2=1,$A15&gt;=0),OFFSET('Input data (2)'!AP$126,'Input data (2)'!$BL$1-$A15,0),""))))</f>
        <v>119</v>
      </c>
      <c r="BG28" s="1">
        <f ca="1">IF(AND('Input data (2)'!$C$2=4,$D15&gt;=0),OFFSET('Input data (2)'!AN$126,'Input data (2)'!$BL$1-$D15,0),IF(AND('Input data (2)'!$C$2=3,$C15&gt;=0),OFFSET('Input data (2)'!AN$126,'Input data (2)'!$BL$1-$C15,0),IF(AND('Input data (2)'!$C$2=2,$B15&gt;=0),OFFSET('Input data (2)'!AN$126,'Input data (2)'!$BL$1-$B15,0),IF(AND('Input data (2)'!$C$2=1,$A15&gt;=0),OFFSET('Input data (2)'!AN$126,'Input data (2)'!$BL$1-$A15,0),""))))</f>
        <v>82</v>
      </c>
      <c r="BH28" s="1">
        <f ca="1">IF(AND('Input data (2)'!$C$2=4,$D15&gt;=0),OFFSET('Input data (2)'!AO$126,'Input data (2)'!$BL$1-$D15,0),IF(AND('Input data (2)'!$C$2=3,$C15&gt;=0),OFFSET('Input data (2)'!AO$126,'Input data (2)'!$BL$1-$C15,0),IF(AND('Input data (2)'!$C$2=2,$B15&gt;=0),OFFSET('Input data (2)'!AO$126,'Input data (2)'!$BL$1-$B15,0),IF(AND('Input data (2)'!$C$2=1,$A15&gt;=0),OFFSET('Input data (2)'!AO$126,'Input data (2)'!$BL$1-$A15,0),""))))</f>
        <v>37</v>
      </c>
      <c r="BJ28" s="1">
        <f ca="1">IF(AND('Input data (2)'!$C$2=4,$D15&gt;=0),OFFSET('Input data (2)'!AU$126,'Input data (2)'!$BL$1-$D15,0),IF(AND('Input data (2)'!$C$2=3,$C15&gt;=0),OFFSET('Input data (2)'!AU$126,'Input data (2)'!$BL$1-$C15,0),IF(AND('Input data (2)'!$C$2=2,$B15&gt;=0),OFFSET('Input data (2)'!AU$126,'Input data (2)'!$BL$1-$B15,0),IF(AND('Input data (2)'!$C$2=1,$A15&gt;=0),OFFSET('Input data (2)'!AU$126,'Input data (2)'!$BL$1-$A15,0),""))))</f>
        <v>8</v>
      </c>
      <c r="BK28" s="1">
        <f ca="1">IF(AND('Input data (2)'!$C$2=4,$D15&gt;=0),OFFSET('Input data (2)'!AV$126,'Input data (2)'!$BL$1-$D15,0),IF(AND('Input data (2)'!$C$2=3,$C15&gt;=0),OFFSET('Input data (2)'!AV$126,'Input data (2)'!$BL$1-$C15,0),IF(AND('Input data (2)'!$C$2=2,$B15&gt;=0),OFFSET('Input data (2)'!AV$126,'Input data (2)'!$BL$1-$B15,0),IF(AND('Input data (2)'!$C$2=1,$A15&gt;=0),OFFSET('Input data (2)'!AV$126,'Input data (2)'!$BL$1-$A15,0),""))))</f>
        <v>0</v>
      </c>
      <c r="BL28" s="1">
        <f ca="1">IF(AND('Input data (2)'!$C$2=4,$D15&gt;=0),OFFSET('Input data (2)'!AW$126,'Input data (2)'!$BL$1-$D15,0),IF(AND('Input data (2)'!$C$2=3,$C15&gt;=0),OFFSET('Input data (2)'!AW$126,'Input data (2)'!$BL$1-$C15,0),IF(AND('Input data (2)'!$C$2=2,$B15&gt;=0),OFFSET('Input data (2)'!AW$126,'Input data (2)'!$BL$1-$B15,0),IF(AND('Input data (2)'!$C$2=1,$A15&gt;=0),OFFSET('Input data (2)'!AW$126,'Input data (2)'!$BL$1-$A15,0),""))))</f>
        <v>21</v>
      </c>
      <c r="BM28" s="1">
        <f ca="1">IF(AND('Input data (2)'!$C$2=4,$D15&gt;=0),OFFSET('Input data (2)'!AX$126,'Input data (2)'!$BL$1-$D15,0),IF(AND('Input data (2)'!$C$2=3,$C15&gt;=0),OFFSET('Input data (2)'!AX$126,'Input data (2)'!$BL$1-$C15,0),IF(AND('Input data (2)'!$C$2=2,$B15&gt;=0),OFFSET('Input data (2)'!AX$126,'Input data (2)'!$BL$1-$B15,0),IF(AND('Input data (2)'!$C$2=1,$A15&gt;=0),OFFSET('Input data (2)'!AX$126,'Input data (2)'!$BL$1-$A15,0),""))))</f>
        <v>1</v>
      </c>
      <c r="BO28" s="1">
        <f ca="1">IF(AND('Input data (2)'!$C$2=4,$D15&gt;=0),OFFSET('Input data (2)'!BL$126,'Input data (2)'!$BL$1-$D15,0),IF(AND('Input data (2)'!$C$2=3,$C15&gt;=0),OFFSET('Input data (2)'!BL$126,'Input data (2)'!$BL$1-$C15,0),IF(AND('Input data (2)'!$C$2=2,$B15&gt;=0),OFFSET('Input data (2)'!BL$126,'Input data (2)'!$BL$1-$B15,0),IF(AND('Input data (2)'!$C$2=1,$A15&gt;=0),OFFSET('Input data (2)'!BL$126,'Input data (2)'!$BL$1-$A15,0),""))))</f>
        <v>394</v>
      </c>
      <c r="BP28" s="1">
        <f ca="1">IF(AND('Input data (2)'!$C$2=4,$D15&gt;=0),OFFSET('Input data (2)'!BI$126,'Input data (2)'!$BL$1-$D15,0),IF(AND('Input data (2)'!$C$2=3,$C15&gt;=0),OFFSET('Input data (2)'!BI$126,'Input data (2)'!$BL$1-$C15,0),IF(AND('Input data (2)'!$C$2=2,$B15&gt;=0),OFFSET('Input data (2)'!BI$126,'Input data (2)'!$BL$1-$B15,0),IF(AND('Input data (2)'!$C$2=1,$A15&gt;=0),OFFSET('Input data (2)'!BI$126,'Input data (2)'!$BL$1-$A15,0),""))))</f>
        <v>213</v>
      </c>
      <c r="BQ28" s="1" t="str">
        <f ca="1">IF(AND('Input data (2)'!$C$2=4,$D15&gt;=0),OFFSET('Input data (2)'!BK$126,'Input data (2)'!$BL$1-$D15,0),IF(AND('Input data (2)'!$C$2=3,$C15&gt;=0),OFFSET('Input data (2)'!BK$126,'Input data (2)'!$BL$1-$C15,0),IF(AND('Input data (2)'!$C$2=2,$B15&gt;=0),OFFSET('Input data (2)'!BK$126,'Input data (2)'!$BL$1-$B15,0),IF(AND('Input data (2)'!$C$2=1,$A15&gt;=0),OFFSET('Input data (2)'!BK$126,'Input data (2)'!$BL$1-$A15,0),""))))</f>
        <v>..</v>
      </c>
      <c r="BR28" s="1">
        <f ca="1">IF(AND('Input data (2)'!$C$2=4,$D15&gt;=0),OFFSET('Input data (2)'!BJ$126,'Input data (2)'!$BL$1-$D15,0),IF(AND('Input data (2)'!$C$2=3,$C15&gt;=0),OFFSET('Input data (2)'!BJ$126,'Input data (2)'!$BL$1-$C15,0),IF(AND('Input data (2)'!$C$2=2,$B15&gt;=0),OFFSET('Input data (2)'!BJ$126,'Input data (2)'!$BL$1-$B15,0),IF(AND('Input data (2)'!$C$2=1,$A15&gt;=0),OFFSET('Input data (2)'!BJ$126,'Input data (2)'!$BL$1-$A15,0),""))))</f>
        <v>181</v>
      </c>
      <c r="BS28" s="1">
        <f ca="1">IF(AND('Input data (2)'!$C$2=4,$D15&gt;=0),OFFSET('Input data (2)'!BF$126,'Input data (2)'!$BL$1-$D15,0),IF(AND('Input data (2)'!$C$2=3,$C15&gt;=0),OFFSET('Input data (2)'!BF$126,'Input data (2)'!$BL$1-$C15,0),IF(AND('Input data (2)'!$C$2=2,$B15&gt;=0),OFFSET('Input data (2)'!BF$126,'Input data (2)'!$BL$1-$B15,0),IF(AND('Input data (2)'!$C$2=1,$A15&gt;=0),OFFSET('Input data (2)'!BF$126,'Input data (2)'!$BL$1-$A15,0),""))))</f>
        <v>31</v>
      </c>
      <c r="BT28" s="1">
        <f ca="1">IF(AND('Input data (2)'!$C$2=4,$D15&gt;=0),OFFSET('Input data (2)'!BD$126,'Input data (2)'!$BL$1-$D15,0),IF(AND('Input data (2)'!$C$2=3,$C15&gt;=0),OFFSET('Input data (2)'!BD$126,'Input data (2)'!$BL$1-$C15,0),IF(AND('Input data (2)'!$C$2=2,$B15&gt;=0),OFFSET('Input data (2)'!BD$126,'Input data (2)'!$BL$1-$B15,0),IF(AND('Input data (2)'!$C$2=1,$A15&gt;=0),OFFSET('Input data (2)'!BD$126,'Input data (2)'!$BL$1-$A15,0),""))))</f>
        <v>23</v>
      </c>
      <c r="BU28" s="1">
        <f ca="1">IF(AND('Input data (2)'!$C$2=4,$D15&gt;=0),OFFSET('Input data (2)'!BE$126,'Input data (2)'!$BL$1-$D15,0),IF(AND('Input data (2)'!$C$2=3,$C15&gt;=0),OFFSET('Input data (2)'!BE$126,'Input data (2)'!$BL$1-$C15,0),IF(AND('Input data (2)'!$C$2=2,$B15&gt;=0),OFFSET('Input data (2)'!BE$126,'Input data (2)'!$BL$1-$B15,0),IF(AND('Input data (2)'!$C$2=1,$A15&gt;=0),OFFSET('Input data (2)'!BE$126,'Input data (2)'!$BL$1-$A15,0),""))))</f>
        <v>8</v>
      </c>
      <c r="BW28" s="7">
        <f ca="1">IF(AND('Input data (2)'!$C$2=4,$D15&gt;=0),OFFSET('Input data (2)'!J$126,'Input data (2)'!$BL$1-$D15,0),IF(AND('Input data (2)'!$C$2=3,$C15&gt;=0),OFFSET('Input data (2)'!J$126,'Input data (2)'!$BL$1-$C15,0),IF(AND('Input data (2)'!$C$2=2,$B15&gt;=0),OFFSET('Input data (2)'!J$126,'Input data (2)'!$BL$1-$B15,0),IF(AND('Input data (2)'!$C$2=1,$A15&gt;=0),OFFSET('Input data (2)'!J$126,'Input data (2)'!$BL$1-$A15,0),""))))</f>
        <v>0.71288095774248972</v>
      </c>
      <c r="BX28" s="7">
        <f ca="1">IF(AND('Input data (2)'!$C$2=4,$D15&gt;=0),OFFSET('Input data (2)'!K$126,'Input data (2)'!$BL$1-$D15,0),IF(AND('Input data (2)'!$C$2=3,$C15&gt;=0),OFFSET('Input data (2)'!K$126,'Input data (2)'!$BL$1-$C15,0),IF(AND('Input data (2)'!$C$2=2,$B15&gt;=0),OFFSET('Input data (2)'!K$126,'Input data (2)'!$BL$1-$B15,0),IF(AND('Input data (2)'!$C$2=1,$A15&gt;=0),OFFSET('Input data (2)'!K$126,'Input data (2)'!$BL$1-$A15,0),""))))</f>
        <v>0.65246801811974287</v>
      </c>
      <c r="BY28" s="7">
        <f ca="1">IF(AND('Input data (2)'!$C$2=4,$D15&gt;=0),OFFSET('Input data (2)'!AS$126,'Input data (2)'!$BL$1-$D15,0),IF(AND('Input data (2)'!$C$2=3,$C15&gt;=0),OFFSET('Input data (2)'!AS$126,'Input data (2)'!$BL$1-$C15,0),IF(AND('Input data (2)'!$C$2=2,$B15&gt;=0),OFFSET('Input data (2)'!AS$126,'Input data (2)'!$BL$1-$B15,0),IF(AND('Input data (2)'!$C$2=1,$A15&gt;=0),OFFSET('Input data (2)'!AS$126,'Input data (2)'!$BL$1-$A15,0),""))))</f>
        <v>0.52678560531022101</v>
      </c>
      <c r="BZ28" s="7">
        <f ca="1">IF(AND('Input data (2)'!$C$2=4,$D15&gt;=0),OFFSET('Input data (2)'!AT$126,'Input data (2)'!$BL$1-$D15,0),IF(AND('Input data (2)'!$C$2=3,$C15&gt;=0),OFFSET('Input data (2)'!AT$126,'Input data (2)'!$BL$1-$C15,0),IF(AND('Input data (2)'!$C$2=2,$B15&gt;=0),OFFSET('Input data (2)'!AT$126,'Input data (2)'!$BL$1-$B15,0),IF(AND('Input data (2)'!$C$2=1,$A15&gt;=0),OFFSET('Input data (2)'!AT$126,'Input data (2)'!$BL$1-$A15,0),""))))</f>
        <v>0.48246609193611839</v>
      </c>
      <c r="CB28" s="122"/>
      <c r="CC28" s="122"/>
      <c r="CD28" s="122"/>
      <c r="CE28" s="122"/>
      <c r="CG28" s="1">
        <v>16</v>
      </c>
      <c r="CI28" s="1">
        <f t="shared" si="24"/>
        <v>2009</v>
      </c>
      <c r="CJ28" s="1" t="str">
        <f t="shared" si="25"/>
        <v>Q2</v>
      </c>
      <c r="CK28" s="1" t="str">
        <f t="shared" si="12"/>
        <v>09</v>
      </c>
      <c r="CL28" s="1" t="str">
        <f t="shared" si="13"/>
        <v>Q2 09</v>
      </c>
      <c r="CM28" s="1">
        <f ca="1">OFFSET('Input data (2)'!AJ$126,'Input data (2)'!$BL$1-'Output data - DO NOT TOUCH (2)'!$CG28,0)/1000</f>
        <v>19.120999999999999</v>
      </c>
      <c r="CN28" s="1">
        <f ca="1">OFFSET('Input data (2)'!AK$126,'Input data (2)'!$BL$1-'Output data - DO NOT TOUCH (2)'!$CG28,0)/1000</f>
        <v>12.032999999999999</v>
      </c>
      <c r="CO28" s="1" t="e">
        <f ca="1">OFFSET('Input data (2)'!AL$126,'Input data (2)'!$BL$1-'Output data - DO NOT TOUCH (2)'!$CG28,0)/1000</f>
        <v>#VALUE!</v>
      </c>
      <c r="CP28" s="1"/>
      <c r="CQ28" s="1">
        <f ca="1">OFFSET('Input data (2)'!AG$126,'Input data (2)'!$BL$1-'Output data - DO NOT TOUCH (2)'!$CG28,0)/1000</f>
        <v>1.5169999999999999</v>
      </c>
      <c r="CR28" s="1">
        <f ca="1">OFFSET('Input data (2)'!AH$126,'Input data (2)'!$BL$1-'Output data - DO NOT TOUCH (2)'!$CG28,0)/1000</f>
        <v>3.516</v>
      </c>
      <c r="CS28" s="1">
        <f ca="1">OFFSET('Input data (2)'!AI$126,'Input data (2)'!$BL$1-'Output data - DO NOT TOUCH (2)'!$CG28,0)/1000</f>
        <v>5.0330000000000004</v>
      </c>
      <c r="CT28" s="1"/>
      <c r="CU28" s="1">
        <f ca="1">OFFSET('Input data (2)'!L$126,'Input data (2)'!$BL$1-'Output data - DO NOT TOUCH (2)'!$CG28,0)</f>
        <v>345</v>
      </c>
      <c r="CV28" s="1">
        <f ca="1">OFFSET('Input data (2)'!M$126,'Input data (2)'!$BL$1-'Output data - DO NOT TOUCH (2)'!$CG28,0)</f>
        <v>0</v>
      </c>
      <c r="CW28" s="67">
        <f ca="1">OFFSET('Input data (2)'!N$126,'Input data (2)'!$BL$1-'Output data - DO NOT TOUCH (2)'!$CG28,0)</f>
        <v>1027</v>
      </c>
      <c r="CX28" s="1">
        <f ca="1">OFFSET('Input data (2)'!P$126,'Input data (2)'!$BL$1-'Output data - DO NOT TOUCH (2)'!$CG28,0)</f>
        <v>157</v>
      </c>
      <c r="CY28" s="1"/>
      <c r="CZ28" s="1">
        <f ca="1">OFFSET('Input data (2)'!AY$126,'Input data (2)'!$BL$1-'Output data - DO NOT TOUCH (2)'!$CG28,0)/1000</f>
        <v>3.7639999999999998</v>
      </c>
      <c r="DA28" s="1">
        <f ca="1">OFFSET('Input data (2)'!BA$126,'Input data (2)'!$BL$1-'Output data - DO NOT TOUCH (2)'!$CG28,0)/1000</f>
        <v>2.5640000000000001</v>
      </c>
      <c r="DB28" s="1">
        <f ca="1">OFFSET('Input data (2)'!BB$126,'Input data (2)'!$BL$1-'Output data - DO NOT TOUCH (2)'!$CG28,0)/1000</f>
        <v>6.3280000000000003</v>
      </c>
      <c r="DD28" s="1">
        <f ca="1">OFFSET('Input data (2)'!AN$126,'Input data (2)'!$BL$1-'Output data - DO NOT TOUCH (2)'!$CG28,0)</f>
        <v>107</v>
      </c>
      <c r="DE28" s="1">
        <f ca="1">OFFSET('Input data (2)'!AO$126,'Input data (2)'!$BL$1-'Output data - DO NOT TOUCH (2)'!$CG28,0)</f>
        <v>39</v>
      </c>
      <c r="DF28" s="1">
        <f ca="1">OFFSET('Input data (2)'!AP$126,'Input data (2)'!$BL$1-'Output data - DO NOT TOUCH (2)'!$CG28,0)</f>
        <v>146</v>
      </c>
      <c r="DG28" s="1"/>
      <c r="DH28" s="1">
        <f ca="1">OFFSET('Input data (2)'!AU$126,'Input data (2)'!$BL$1-'Output data - DO NOT TOUCH (2)'!$CG28,0)</f>
        <v>8</v>
      </c>
      <c r="DI28" s="1">
        <f ca="1">OFFSET('Input data (2)'!AV$126,'Input data (2)'!$BL$1-'Output data - DO NOT TOUCH (2)'!$CG28,0)</f>
        <v>0</v>
      </c>
      <c r="DJ28" s="1">
        <f ca="1">OFFSET('Input data (2)'!AW$126,'Input data (2)'!$BL$1-'Output data - DO NOT TOUCH (2)'!$CG28,0)</f>
        <v>30</v>
      </c>
      <c r="DK28" s="1">
        <f ca="1">OFFSET('Input data (2)'!AX$126,'Input data (2)'!$BL$1-'Output data - DO NOT TOUCH (2)'!$CG28,0)</f>
        <v>2</v>
      </c>
      <c r="DM28" s="1">
        <f ca="1">OFFSET('Input data (2)'!BI$126,'Input data (2)'!$BL$1-'Output data - DO NOT TOUCH (2)'!$CG28,0)</f>
        <v>355</v>
      </c>
      <c r="DN28" s="1">
        <f ca="1">OFFSET('Input data (2)'!BJ$126,'Input data (2)'!$BL$1-'Output data - DO NOT TOUCH (2)'!$CG28,0)</f>
        <v>205</v>
      </c>
      <c r="DO28" s="1">
        <f ca="1">OFFSET('Input data (2)'!BL$126,'Input data (2)'!$BL$1-'Output data - DO NOT TOUCH (2)'!$CG28,0)</f>
        <v>560</v>
      </c>
      <c r="DQ28" s="1">
        <f ca="1">OFFSET('Input data (2)'!BD$126,'Input data (2)'!$BL$1-'Output data - DO NOT TOUCH (2)'!$CG28,0)</f>
        <v>46</v>
      </c>
      <c r="DR28" s="1">
        <f ca="1">OFFSET('Input data (2)'!BE$126,'Input data (2)'!$BL$1-'Output data - DO NOT TOUCH (2)'!$CG28,0)</f>
        <v>19</v>
      </c>
      <c r="DS28" s="1">
        <f ca="1">OFFSET('Input data (2)'!BF$126,'Input data (2)'!$BL$1-'Output data - DO NOT TOUCH (2)'!$CG28,0)</f>
        <v>65</v>
      </c>
      <c r="DU28" s="1">
        <f ca="1">OFFSET('Input data (2)'!B$126,'Input data (2)'!$BL$1-'Output data - DO NOT TOUCH (2)'!$CG28-1,0)</f>
        <v>2009</v>
      </c>
      <c r="DV28" s="1" t="str">
        <f ca="1">OFFSET('Input data (2)'!C$126,'Input data (2)'!$BL$1-'Output data - DO NOT TOUCH (2)'!$CG28-1,0)</f>
        <v>Q1</v>
      </c>
      <c r="DW28" s="1" t="str">
        <f t="shared" ca="1" si="14"/>
        <v>09</v>
      </c>
      <c r="DX28" s="1" t="str">
        <f t="shared" ca="1" si="15"/>
        <v>Q1 09</v>
      </c>
      <c r="DY28" s="1">
        <f ca="1">OFFSET('Input data (2)'!W$126,'Input data (2)'!$BL$1-'Output data - DO NOT TOUCH (2)'!$CG28-1,0)/1000</f>
        <v>2.798</v>
      </c>
      <c r="DZ28" s="1">
        <f ca="1">OFFSET('Input data (2)'!Y$126,'Input data (2)'!$BL$1-'Output data - DO NOT TOUCH (2)'!$CG28-1,0)/1000</f>
        <v>17.648</v>
      </c>
      <c r="EA28" s="1">
        <f ca="1">OFFSET('Input data (2)'!Q$126,'Input data (2)'!$BL$1-'Output data - DO NOT TOUCH (2)'!$CG28-1,0)/1000</f>
        <v>20.446000000000002</v>
      </c>
    </row>
    <row r="29" spans="1:140" x14ac:dyDescent="0.15">
      <c r="A29" s="1">
        <v>15</v>
      </c>
      <c r="B29" s="1">
        <v>16</v>
      </c>
      <c r="C29" s="1">
        <v>17</v>
      </c>
      <c r="D29" s="1">
        <v>14</v>
      </c>
      <c r="CG29" s="1">
        <v>15</v>
      </c>
      <c r="CI29" s="1">
        <f t="shared" ca="1" si="24"/>
        <v>2009</v>
      </c>
      <c r="CJ29" s="1" t="str">
        <f t="shared" si="25"/>
        <v>Q3</v>
      </c>
      <c r="CK29" s="1" t="str">
        <f t="shared" ca="1" si="12"/>
        <v>09</v>
      </c>
      <c r="CL29" s="1" t="str">
        <f t="shared" ca="1" si="13"/>
        <v>Q3 09</v>
      </c>
      <c r="CM29" s="1">
        <f ca="1">OFFSET('Input data (2)'!AJ$126,'Input data (2)'!$BL$1-'Output data - DO NOT TOUCH (2)'!$CG29,0)/1000</f>
        <v>18.658999999999999</v>
      </c>
      <c r="CN29" s="1">
        <f ca="1">OFFSET('Input data (2)'!AK$126,'Input data (2)'!$BL$1-'Output data - DO NOT TOUCH (2)'!$CG29,0)/1000</f>
        <v>11.868</v>
      </c>
      <c r="CO29" s="1" t="e">
        <f ca="1">OFFSET('Input data (2)'!AL$126,'Input data (2)'!$BL$1-'Output data - DO NOT TOUCH (2)'!$CG29,0)/1000</f>
        <v>#VALUE!</v>
      </c>
      <c r="CP29" s="1"/>
      <c r="CQ29" s="1">
        <f ca="1">OFFSET('Input data (2)'!AG$126,'Input data (2)'!$BL$1-'Output data - DO NOT TOUCH (2)'!$CG29,0)/1000</f>
        <v>1.3049999999999999</v>
      </c>
      <c r="CR29" s="1">
        <f ca="1">OFFSET('Input data (2)'!AH$126,'Input data (2)'!$BL$1-'Output data - DO NOT TOUCH (2)'!$CG29,0)/1000</f>
        <v>3.3359999999999999</v>
      </c>
      <c r="CS29" s="1">
        <f ca="1">OFFSET('Input data (2)'!AI$126,'Input data (2)'!$BL$1-'Output data - DO NOT TOUCH (2)'!$CG29,0)/1000</f>
        <v>4.641</v>
      </c>
      <c r="CT29" s="1"/>
      <c r="CU29" s="1">
        <f ca="1">OFFSET('Input data (2)'!L$126,'Input data (2)'!$BL$1-'Output data - DO NOT TOUCH (2)'!$CG29,0)</f>
        <v>410</v>
      </c>
      <c r="CV29" s="1">
        <f ca="1">OFFSET('Input data (2)'!M$126,'Input data (2)'!$BL$1-'Output data - DO NOT TOUCH (2)'!$CG29,0)</f>
        <v>0</v>
      </c>
      <c r="CW29" s="67">
        <f ca="1">OFFSET('Input data (2)'!N$126,'Input data (2)'!$BL$1-'Output data - DO NOT TOUCH (2)'!$CG29,0)</f>
        <v>974</v>
      </c>
      <c r="CX29" s="1">
        <f ca="1">OFFSET('Input data (2)'!P$126,'Input data (2)'!$BL$1-'Output data - DO NOT TOUCH (2)'!$CG29,0)</f>
        <v>194</v>
      </c>
      <c r="CY29" s="1"/>
      <c r="CZ29" s="1">
        <f ca="1">OFFSET('Input data (2)'!AY$126,'Input data (2)'!$BL$1-'Output data - DO NOT TOUCH (2)'!$CG29,0)/1000</f>
        <v>3.5139999999999998</v>
      </c>
      <c r="DA29" s="1">
        <f ca="1">OFFSET('Input data (2)'!BA$126,'Input data (2)'!$BL$1-'Output data - DO NOT TOUCH (2)'!$CG29,0)/1000</f>
        <v>2.2629999999999999</v>
      </c>
      <c r="DB29" s="1">
        <f ca="1">OFFSET('Input data (2)'!BB$126,'Input data (2)'!$BL$1-'Output data - DO NOT TOUCH (2)'!$CG29,0)/1000</f>
        <v>5.7770000000000001</v>
      </c>
      <c r="DD29" s="1">
        <f ca="1">OFFSET('Input data (2)'!AN$126,'Input data (2)'!$BL$1-'Output data - DO NOT TOUCH (2)'!$CG29,0)</f>
        <v>95</v>
      </c>
      <c r="DE29" s="1">
        <f ca="1">OFFSET('Input data (2)'!AO$126,'Input data (2)'!$BL$1-'Output data - DO NOT TOUCH (2)'!$CG29,0)</f>
        <v>28</v>
      </c>
      <c r="DF29" s="1">
        <f ca="1">OFFSET('Input data (2)'!AP$126,'Input data (2)'!$BL$1-'Output data - DO NOT TOUCH (2)'!$CG29,0)</f>
        <v>123</v>
      </c>
      <c r="DG29" s="1"/>
      <c r="DH29" s="1">
        <f ca="1">OFFSET('Input data (2)'!AU$126,'Input data (2)'!$BL$1-'Output data - DO NOT TOUCH (2)'!$CG29,0)</f>
        <v>17</v>
      </c>
      <c r="DI29" s="1">
        <f ca="1">OFFSET('Input data (2)'!AV$126,'Input data (2)'!$BL$1-'Output data - DO NOT TOUCH (2)'!$CG29,0)</f>
        <v>0</v>
      </c>
      <c r="DJ29" s="1">
        <f ca="1">OFFSET('Input data (2)'!AW$126,'Input data (2)'!$BL$1-'Output data - DO NOT TOUCH (2)'!$CG29,0)</f>
        <v>14</v>
      </c>
      <c r="DK29" s="1">
        <f ca="1">OFFSET('Input data (2)'!AX$126,'Input data (2)'!$BL$1-'Output data - DO NOT TOUCH (2)'!$CG29,0)</f>
        <v>0</v>
      </c>
      <c r="DM29" s="1">
        <f ca="1">OFFSET('Input data (2)'!BI$126,'Input data (2)'!$BL$1-'Output data - DO NOT TOUCH (2)'!$CG29,0)</f>
        <v>198</v>
      </c>
      <c r="DN29" s="1">
        <f ca="1">OFFSET('Input data (2)'!BJ$126,'Input data (2)'!$BL$1-'Output data - DO NOT TOUCH (2)'!$CG29,0)</f>
        <v>181</v>
      </c>
      <c r="DO29" s="1">
        <f ca="1">OFFSET('Input data (2)'!BL$126,'Input data (2)'!$BL$1-'Output data - DO NOT TOUCH (2)'!$CG29,0)</f>
        <v>379</v>
      </c>
      <c r="DQ29" s="1">
        <f ca="1">OFFSET('Input data (2)'!BD$126,'Input data (2)'!$BL$1-'Output data - DO NOT TOUCH (2)'!$CG29,0)</f>
        <v>27</v>
      </c>
      <c r="DR29" s="1">
        <f ca="1">OFFSET('Input data (2)'!BE$126,'Input data (2)'!$BL$1-'Output data - DO NOT TOUCH (2)'!$CG29,0)</f>
        <v>24</v>
      </c>
      <c r="DS29" s="1">
        <f ca="1">OFFSET('Input data (2)'!BF$126,'Input data (2)'!$BL$1-'Output data - DO NOT TOUCH (2)'!$CG29,0)</f>
        <v>51</v>
      </c>
      <c r="DU29" s="1">
        <f ca="1">OFFSET('Input data (2)'!B$126,'Input data (2)'!$BL$1-'Output data - DO NOT TOUCH (2)'!$CG29-1,0)</f>
        <v>2009</v>
      </c>
      <c r="DV29" s="1" t="str">
        <f ca="1">OFFSET('Input data (2)'!C$126,'Input data (2)'!$BL$1-'Output data - DO NOT TOUCH (2)'!$CG29-1,0)</f>
        <v>Q2</v>
      </c>
      <c r="DW29" s="1" t="str">
        <f t="shared" ca="1" si="14"/>
        <v>09</v>
      </c>
      <c r="DX29" s="1" t="str">
        <f t="shared" ca="1" si="15"/>
        <v>Q2 09</v>
      </c>
      <c r="DY29" s="1">
        <f ca="1">OFFSET('Input data (2)'!W$126,'Input data (2)'!$BL$1-'Output data - DO NOT TOUCH (2)'!$CG29-1,0)/1000</f>
        <v>2.4700000000000002</v>
      </c>
      <c r="DZ29" s="1">
        <f ca="1">OFFSET('Input data (2)'!Y$126,'Input data (2)'!$BL$1-'Output data - DO NOT TOUCH (2)'!$CG29-1,0)/1000</f>
        <v>16.399999999999999</v>
      </c>
      <c r="EA29" s="1">
        <f ca="1">OFFSET('Input data (2)'!Q$126,'Input data (2)'!$BL$1-'Output data - DO NOT TOUCH (2)'!$CG29-1,0)/1000</f>
        <v>18.87</v>
      </c>
    </row>
    <row r="30" spans="1:140" x14ac:dyDescent="0.15">
      <c r="A30" s="1">
        <v>14</v>
      </c>
      <c r="B30" s="1">
        <v>15</v>
      </c>
      <c r="C30" s="1">
        <v>16</v>
      </c>
      <c r="D30" s="1">
        <v>13</v>
      </c>
      <c r="E30" s="1" t="str">
        <f>F30&amp;G30</f>
        <v>2006Q1</v>
      </c>
      <c r="F30" s="1">
        <f>F25+1</f>
        <v>2006</v>
      </c>
      <c r="G30" s="1" t="s">
        <v>1</v>
      </c>
      <c r="H30" s="1">
        <f>VLOOKUP($E30,'Input data (2)'!$A:$BL,'Output data - DO NOT TOUCH (2)'!H$71,FALSE)</f>
        <v>3564</v>
      </c>
      <c r="I30" s="1">
        <f>VLOOKUP($E30,'Input data (2)'!$A:$BL,'Output data - DO NOT TOUCH (2)'!I$71,FALSE)</f>
        <v>1473</v>
      </c>
      <c r="J30" s="1">
        <f>VLOOKUP($E30,'Input data (2)'!$A:$BL,'Output data - DO NOT TOUCH (2)'!J$71,FALSE)</f>
        <v>2091</v>
      </c>
      <c r="K30" s="1">
        <f>VLOOKUP($E30,'Input data (2)'!$A:$BL,'Output data - DO NOT TOUCH (2)'!K$71,FALSE)</f>
        <v>3454</v>
      </c>
      <c r="L30" s="1">
        <f>VLOOKUP($E30,'Input data (2)'!$A:$BL,'Output data - DO NOT TOUCH (2)'!L$71,FALSE)</f>
        <v>1439</v>
      </c>
      <c r="M30" s="1">
        <f>VLOOKUP($E30,'Input data (2)'!$A:$BL,'Output data - DO NOT TOUCH (2)'!M$71,FALSE)</f>
        <v>2015</v>
      </c>
      <c r="O30" s="119">
        <f ca="1">IF(AND('Input data (2)'!$C$2=4,$D16&gt;=0),OFFSET('Input data (2)'!O$126,'Input data (2)'!$BL$1-$D16,0),IF(AND('Input data (2)'!$C$2=3,$C16&gt;=0),OFFSET('Input data (2)'!O$126,'Input data (2)'!$BL$1-$C16,0),IF(AND('Input data (2)'!$C$2=2,$B16&gt;=0),OFFSET('Input data (2)'!O$126,'Input data (2)'!$BL$1-$B16,0),IF(AND('Input data (2)'!$C$2=1,$A16&gt;=0),OFFSET('Input data (2)'!O$126,'Input data (2)'!$BL$1-$A16,0),""))))</f>
        <v>212</v>
      </c>
      <c r="Q30" s="1">
        <f ca="1">IF(AND('Input data (2)'!$C$2=4,$D16&gt;=0),OFFSET('Input data (2)'!AC$126,'Input data (2)'!$BL$1-$D16,0),IF(AND('Input data (2)'!$C$2=3,$C16&gt;=0),OFFSET('Input data (2)'!AC$126,'Input data (2)'!$BL$1-$C16,0),IF(AND('Input data (2)'!$C$2=2,$B16&gt;=0),OFFSET('Input data (2)'!AC$126,'Input data (2)'!$BL$1-$B16,0),IF(AND('Input data (2)'!$C$2=1,$A16&gt;=0),OFFSET('Input data (2)'!AC$126,'Input data (2)'!$BL$1-$A16,0),""))))</f>
        <v>23939</v>
      </c>
      <c r="R30" s="1">
        <f ca="1">IF(AND('Input data (2)'!$C$2=4,$D16&gt;=0),OFFSET('Input data (2)'!Q$126,'Input data (2)'!$BL$1-$D16,0),IF(AND('Input data (2)'!$C$2=3,$C16&gt;=0),OFFSET('Input data (2)'!Q$126,'Input data (2)'!$BL$1-$C16,0),IF(AND('Input data (2)'!$C$2=2,$B16&gt;=0),OFFSET('Input data (2)'!Q$126,'Input data (2)'!$BL$1-$B16,0),IF(AND('Input data (2)'!$C$2=1,$A16&gt;=0),OFFSET('Input data (2)'!Q$126,'Input data (2)'!$BL$1-$A16,0),""))))</f>
        <v>16283</v>
      </c>
      <c r="S30" s="1" t="str">
        <f ca="1">IF(AND('Input data (2)'!$C$2=4,$D16&gt;=0),OFFSET('Input data (2)'!R$126,'Input data (2)'!$BL$1-$D16,0),IF(AND('Input data (2)'!$C$2=3,$C16&gt;=0),OFFSET('Input data (2)'!R$126,'Input data (2)'!$BL$1-$C16,0),IF(AND('Input data (2)'!$C$2=2,$B16&gt;=0),OFFSET('Input data (2)'!R$126,'Input data (2)'!$BL$1-$B16,0),IF(AND('Input data (2)'!$C$2=1,$A16&gt;=0),OFFSET('Input data (2)'!R$126,'Input data (2)'!$BL$1-$A16,0),""))))</f>
        <v>:</v>
      </c>
      <c r="T30" s="1">
        <f ca="1">IF(AND('Input data (2)'!$C$2=4,$D16&gt;=0),OFFSET('Input data (2)'!AA$126,'Input data (2)'!$BL$1-$D16,0),IF(AND('Input data (2)'!$C$2=3,$C16&gt;=0),OFFSET('Input data (2)'!AA$126,'Input data (2)'!$BL$1-$C16,0),IF(AND('Input data (2)'!$C$2=2,$B16&gt;=0),OFFSET('Input data (2)'!AA$126,'Input data (2)'!$BL$1-$B16,0),IF(AND('Input data (2)'!$C$2=1,$A16&gt;=0),OFFSET('Input data (2)'!AA$126,'Input data (2)'!$BL$1-$A16,0),""))))</f>
        <v>7656</v>
      </c>
      <c r="U30" s="1">
        <f ca="1">IF(AND('Input data (2)'!$C$2=4,$D16&gt;=0),OFFSET('Input data (2)'!AL$126,'Input data (2)'!$BL$1-$D16,0),IF(AND('Input data (2)'!$C$2=3,$C16&gt;=0),OFFSET('Input data (2)'!AL$126,'Input data (2)'!$BL$1-$C16,0),IF(AND('Input data (2)'!$C$2=2,$B16&gt;=0),OFFSET('Input data (2)'!AL$126,'Input data (2)'!$BL$1-$B16,0),IF(AND('Input data (2)'!$C$2=1,$A16&gt;=0),OFFSET('Input data (2)'!AL$126,'Input data (2)'!$BL$1-$A16,0),""))))</f>
        <v>23805</v>
      </c>
      <c r="V30" s="1">
        <f ca="1">IF(AND('Input data (2)'!$C$2=4,$D16&gt;=0),OFFSET('Input data (2)'!AJ$126,'Input data (2)'!$BL$1-$D16,0),IF(AND('Input data (2)'!$C$2=3,$C16&gt;=0),OFFSET('Input data (2)'!AJ$126,'Input data (2)'!$BL$1-$C16,0),IF(AND('Input data (2)'!$C$2=2,$B16&gt;=0),OFFSET('Input data (2)'!AJ$126,'Input data (2)'!$BL$1-$B16,0),IF(AND('Input data (2)'!$C$2=1,$A16&gt;=0),OFFSET('Input data (2)'!AJ$126,'Input data (2)'!$BL$1-$A16,0),""))))</f>
        <v>15217</v>
      </c>
      <c r="W30" s="1">
        <f ca="1">IF(AND('Input data (2)'!$C$2=4,$D16&gt;=0),OFFSET('Input data (2)'!AK$126,'Input data (2)'!$BL$1-$D16,0),IF(AND('Input data (2)'!$C$2=3,$C16&gt;=0),OFFSET('Input data (2)'!AK$126,'Input data (2)'!$BL$1-$C16,0),IF(AND('Input data (2)'!$C$2=2,$B16&gt;=0),OFFSET('Input data (2)'!AK$126,'Input data (2)'!$BL$1-$B16,0),IF(AND('Input data (2)'!$C$2=1,$A16&gt;=0),OFFSET('Input data (2)'!AK$126,'Input data (2)'!$BL$1-$A16,0),""))))</f>
        <v>8588</v>
      </c>
      <c r="Y30" s="1">
        <f ca="1">IF(AND('Input data (2)'!$C$2=4,$D16&gt;=0),OFFSET('Input data (2)'!Q$126,'Input data (2)'!$BL$1-$D16,0),IF(AND('Input data (2)'!$C$2=3,$C16&gt;=0),OFFSET('Input data (2)'!Q$126,'Input data (2)'!$BL$1-$C16,0),IF(AND('Input data (2)'!$C$2=2,$B16&gt;=0),OFFSET('Input data (2)'!Q$126,'Input data (2)'!$BL$1-$B16,0),IF(AND('Input data (2)'!$C$2=1,$A16&gt;=0),OFFSET('Input data (2)'!Q$126,'Input data (2)'!$BL$1-$A16,0),""))))</f>
        <v>16283</v>
      </c>
      <c r="Z30" s="1">
        <f ca="1">IF(AND('Input data (2)'!$C$2=4,$D16&gt;=0),OFFSET('Input data (2)'!S$126,'Input data (2)'!$BL$1-$D16,0),IF(AND('Input data (2)'!$C$2=3,$C16&gt;=0),OFFSET('Input data (2)'!S$126,'Input data (2)'!$BL$1-$C16,0),IF(AND('Input data (2)'!$C$2=2,$B16&gt;=0),OFFSET('Input data (2)'!S$126,'Input data (2)'!$BL$1-$B16,0),IF(AND('Input data (2)'!$C$2=1,$A16&gt;=0),OFFSET('Input data (2)'!S$126,'Input data (2)'!$BL$1-$A16,0),""))))</f>
        <v>13492</v>
      </c>
      <c r="AA30" s="1">
        <f ca="1">IF(AND('Input data (2)'!$C$2=4,$D16&gt;=0),OFFSET('Input data (2)'!T$126,'Input data (2)'!$BL$1-$D16,0),IF(AND('Input data (2)'!$C$2=3,$C16&gt;=0),OFFSET('Input data (2)'!T$126,'Input data (2)'!$BL$1-$C16,0),IF(AND('Input data (2)'!$C$2=2,$B16&gt;=0),OFFSET('Input data (2)'!T$126,'Input data (2)'!$BL$1-$B16,0),IF(AND('Input data (2)'!$C$2=1,$A16&gt;=0),OFFSET('Input data (2)'!T$126,'Input data (2)'!$BL$1-$A16,0),""))))</f>
        <v>82.859423939077573</v>
      </c>
      <c r="AB30" s="1">
        <f ca="1">IF(AND('Input data (2)'!$C$2=4,$D16&gt;=0),OFFSET('Input data (2)'!U$126,'Input data (2)'!$BL$1-$D16,0),IF(AND('Input data (2)'!$C$2=3,$C16&gt;=0),OFFSET('Input data (2)'!U$126,'Input data (2)'!$BL$1-$C16,0),IF(AND('Input data (2)'!$C$2=2,$B16&gt;=0),OFFSET('Input data (2)'!U$126,'Input data (2)'!$BL$1-$B16,0),IF(AND('Input data (2)'!$C$2=1,$A16&gt;=0),OFFSET('Input data (2)'!U$126,'Input data (2)'!$BL$1-$A16,0),""))))</f>
        <v>2791</v>
      </c>
      <c r="AC30" s="1">
        <f ca="1">IF(AND('Input data (2)'!$C$2=4,$D16&gt;=0),OFFSET('Input data (2)'!V$126,'Input data (2)'!$BL$1-$D16,0),IF(AND('Input data (2)'!$C$2=3,$C16&gt;=0),OFFSET('Input data (2)'!V$126,'Input data (2)'!$BL$1-$C16,0),IF(AND('Input data (2)'!$C$2=2,$B16&gt;=0),OFFSET('Input data (2)'!V$126,'Input data (2)'!$BL$1-$B16,0),IF(AND('Input data (2)'!$C$2=1,$A16&gt;=0),OFFSET('Input data (2)'!V$126,'Input data (2)'!$BL$1-$A16,0),""))))</f>
        <v>17.140576060922434</v>
      </c>
      <c r="AD30" s="1">
        <f ca="1">IF(AND('Input data (2)'!$C$2=4,$D16&gt;=0),OFFSET('Input data (2)'!Q$126,'Input data (2)'!$BL$1-$D16,0),IF(AND('Input data (2)'!$C$2=3,$C16&gt;=0),OFFSET('Input data (2)'!Q$126,'Input data (2)'!$BL$1-$C16,0),IF(AND('Input data (2)'!$C$2=2,$B16&gt;=0),OFFSET('Input data (2)'!Q$126,'Input data (2)'!$BL$1-$B16,0),IF(AND('Input data (2)'!$C$2=1,$A16&gt;=0),OFFSET('Input data (2)'!Q$126,'Input data (2)'!$BL$1-$A16,0),""))))</f>
        <v>16283</v>
      </c>
      <c r="AE30" s="1">
        <f ca="1">IF(AND('Input data (2)'!$C$2=4,$D16&gt;=0),OFFSET('Input data (2)'!W$126,'Input data (2)'!$BL$1-$D16,0),IF(AND('Input data (2)'!$C$2=3,$C16&gt;=0),OFFSET('Input data (2)'!W$126,'Input data (2)'!$BL$1-$C16,0),IF(AND('Input data (2)'!$C$2=2,$B16&gt;=0),OFFSET('Input data (2)'!W$126,'Input data (2)'!$BL$1-$B16,0),IF(AND('Input data (2)'!$C$2=1,$A16&gt;=0),OFFSET('Input data (2)'!W$126,'Input data (2)'!$BL$1-$A16,0),""))))</f>
        <v>3150</v>
      </c>
      <c r="AF30" s="1">
        <f ca="1">IF(AND('Input data (2)'!$C$2=4,$D16&gt;=0),OFFSET('Input data (2)'!X$126,'Input data (2)'!$BL$1-$D16,0),IF(AND('Input data (2)'!$C$2=3,$C16&gt;=0),OFFSET('Input data (2)'!X$126,'Input data (2)'!$BL$1-$C16,0),IF(AND('Input data (2)'!$C$2=2,$B16&gt;=0),OFFSET('Input data (2)'!X$126,'Input data (2)'!$BL$1-$B16,0),IF(AND('Input data (2)'!$C$2=1,$A16&gt;=0),OFFSET('Input data (2)'!X$126,'Input data (2)'!$BL$1-$A16,0),""))))</f>
        <v>19.345329484738684</v>
      </c>
      <c r="AG30" s="1">
        <f ca="1">IF(AND('Input data (2)'!$C$2=4,$D16&gt;=0),OFFSET('Input data (2)'!Y$126,'Input data (2)'!$BL$1-$D16,0),IF(AND('Input data (2)'!$C$2=3,$C16&gt;=0),OFFSET('Input data (2)'!Y$126,'Input data (2)'!$BL$1-$C16,0),IF(AND('Input data (2)'!$C$2=2,$B16&gt;=0),OFFSET('Input data (2)'!Y$126,'Input data (2)'!$BL$1-$B16,0),IF(AND('Input data (2)'!$C$2=1,$A16&gt;=0),OFFSET('Input data (2)'!Y$126,'Input data (2)'!$BL$1-$A16,0),""))))</f>
        <v>13133</v>
      </c>
      <c r="AH30" s="1">
        <f ca="1">IF(AND('Input data (2)'!$C$2=4,$D16&gt;=0),OFFSET('Input data (2)'!Z$126,'Input data (2)'!$BL$1-$D16,0),IF(AND('Input data (2)'!$C$2=3,$C16&gt;=0),OFFSET('Input data (2)'!Z$126,'Input data (2)'!$BL$1-$C16,0),IF(AND('Input data (2)'!$C$2=2,$B16&gt;=0),OFFSET('Input data (2)'!Z$126,'Input data (2)'!$BL$1-$B16,0),IF(AND('Input data (2)'!$C$2=1,$A16&gt;=0),OFFSET('Input data (2)'!Z$126,'Input data (2)'!$BL$1-$A16,0),""))))</f>
        <v>80.654670515261316</v>
      </c>
      <c r="AI30" s="3"/>
      <c r="AJ30" s="124">
        <f ca="1">IF(AND('Input data (2)'!$C$2=4,$D16&gt;=0),OFFSET('Input data (2)'!AF$126,'Input data (2)'!$BL$1-$D16,0),IF(AND('Input data (2)'!$C$2=3,$C16&gt;=0),OFFSET('Input data (2)'!AF$126,'Input data (2)'!$BL$1-$C16,0),IF(AND('Input data (2)'!$C$2=2,$B16&gt;=0),OFFSET('Input data (2)'!AF$126,'Input data (2)'!$BL$1-$B16,0),IF(AND('Input data (2)'!$C$2=1,$A16&gt;=0),OFFSET('Input data (2)'!AF$126,'Input data (2)'!$BL$1-$A16,0),""))))</f>
        <v>1973</v>
      </c>
      <c r="AK30" s="124">
        <f ca="1">IF(AND('Input data (2)'!$C$2=4,$D16&gt;=0),OFFSET('Input data (2)'!AD$126,'Input data (2)'!$BL$1-$D16,0),IF(AND('Input data (2)'!$C$2=3,$C16&gt;=0),OFFSET('Input data (2)'!AD$126,'Input data (2)'!$BL$1-$C16,0),IF(AND('Input data (2)'!$C$2=2,$B16&gt;=0),OFFSET('Input data (2)'!AD$126,'Input data (2)'!$BL$1-$B16,0),IF(AND('Input data (2)'!$C$2=1,$A16&gt;=0),OFFSET('Input data (2)'!AD$126,'Input data (2)'!$BL$1-$A16,0),""))))</f>
        <v>29</v>
      </c>
      <c r="AL30" s="124">
        <f ca="1">IF(AND('Input data (2)'!$C$2=4,$D16&gt;=0),OFFSET('Input data (2)'!AE$126,'Input data (2)'!$BL$1-$D16,0),IF(AND('Input data (2)'!$C$2=3,$C16&gt;=0),OFFSET('Input data (2)'!AE$126,'Input data (2)'!$BL$1-$C16,0),IF(AND('Input data (2)'!$C$2=2,$B16&gt;=0),OFFSET('Input data (2)'!AE$126,'Input data (2)'!$BL$1-$B16,0),IF(AND('Input data (2)'!$C$2=1,$A16&gt;=0),OFFSET('Input data (2)'!AE$126,'Input data (2)'!$BL$1-$A16,0),""))))</f>
        <v>1944</v>
      </c>
      <c r="AW30" s="1">
        <f ca="1">IF(AND('Input data (2)'!$C$2=4,$D16&gt;=0),OFFSET('Input data (2)'!L$126,'Input data (2)'!$BL$1-$D16,0),IF(AND('Input data (2)'!$C$2=3,$C16&gt;=0),OFFSET('Input data (2)'!L$126,'Input data (2)'!$BL$1-$C16,0),IF(AND('Input data (2)'!$C$2=2,$B16&gt;=0),OFFSET('Input data (2)'!L$126,'Input data (2)'!$BL$1-$B16,0),IF(AND('Input data (2)'!$C$2=1,$A16&gt;=0),OFFSET('Input data (2)'!L$126,'Input data (2)'!$BL$1-$A16,0),""))))</f>
        <v>180</v>
      </c>
      <c r="AX30" s="1">
        <f ca="1">IF(AND('Input data (2)'!$C$2=4,$D16&gt;=0),OFFSET('Input data (2)'!M$126,'Input data (2)'!$BL$1-$D16,0),IF(AND('Input data (2)'!$C$2=3,$C16&gt;=0),OFFSET('Input data (2)'!M$126,'Input data (2)'!$BL$1-$C16,0),IF(AND('Input data (2)'!$C$2=2,$B16&gt;=0),OFFSET('Input data (2)'!M$126,'Input data (2)'!$BL$1-$B16,0),IF(AND('Input data (2)'!$C$2=1,$A16&gt;=0),OFFSET('Input data (2)'!M$126,'Input data (2)'!$BL$1-$A16,0),""))))</f>
        <v>0</v>
      </c>
      <c r="AY30" s="1">
        <f ca="1">IF(AND('Input data (2)'!$C$2=4,$D16&gt;=0),OFFSET('Input data (2)'!N$126,'Input data (2)'!$BL$1-$D16,0),IF(AND('Input data (2)'!$C$2=3,$C16&gt;=0),OFFSET('Input data (2)'!N$126,'Input data (2)'!$BL$1-$C16,0),IF(AND('Input data (2)'!$C$2=2,$B16&gt;=0),OFFSET('Input data (2)'!N$126,'Input data (2)'!$BL$1-$B16,0),IF(AND('Input data (2)'!$C$2=1,$A16&gt;=0),OFFSET('Input data (2)'!N$126,'Input data (2)'!$BL$1-$A16,0),""))))</f>
        <v>753</v>
      </c>
      <c r="AZ30" s="1">
        <f ca="1">IF(AND('Input data (2)'!$C$2=4,$D16&gt;=0),OFFSET('Input data (2)'!P$126,'Input data (2)'!$BL$1-$D16,0),IF(AND('Input data (2)'!$C$2=3,$C16&gt;=0),OFFSET('Input data (2)'!P$126,'Input data (2)'!$BL$1-$C16,0),IF(AND('Input data (2)'!$C$2=2,$B16&gt;=0),OFFSET('Input data (2)'!P$126,'Input data (2)'!$BL$1-$B16,0),IF(AND('Input data (2)'!$C$2=1,$A16&gt;=0),OFFSET('Input data (2)'!P$126,'Input data (2)'!$BL$1-$A16,0),""))))</f>
        <v>124</v>
      </c>
      <c r="BB30" s="1">
        <f ca="1">IF(AND('Input data (2)'!$C$2=4,$D16&gt;=0),OFFSET('Input data (2)'!BB$126,'Input data (2)'!$BL$1-$D16,0),IF(AND('Input data (2)'!$C$2=3,$C16&gt;=0),OFFSET('Input data (2)'!BB$126,'Input data (2)'!$BL$1-$C16,0),IF(AND('Input data (2)'!$C$2=2,$B16&gt;=0),OFFSET('Input data (2)'!BB$126,'Input data (2)'!$BL$1-$B16,0),IF(AND('Input data (2)'!$C$2=1,$A16&gt;=0),OFFSET('Input data (2)'!BB$126,'Input data (2)'!$BL$1-$A16,0),""))))</f>
        <v>3187</v>
      </c>
      <c r="BC30" s="1">
        <f ca="1">IF(AND('Input data (2)'!$C$2=4,$D16&gt;=0),OFFSET('Input data (2)'!AY$126,'Input data (2)'!$BL$1-$D16,0),IF(AND('Input data (2)'!$C$2=3,$C16&gt;=0),OFFSET('Input data (2)'!AY$126,'Input data (2)'!$BL$1-$C16,0),IF(AND('Input data (2)'!$C$2=2,$B16&gt;=0),OFFSET('Input data (2)'!AY$126,'Input data (2)'!$BL$1-$B16,0),IF(AND('Input data (2)'!$C$2=1,$A16&gt;=0),OFFSET('Input data (2)'!AY$126,'Input data (2)'!$BL$1-$A16,0),""))))</f>
        <v>1298</v>
      </c>
      <c r="BD30" s="1" t="str">
        <f ca="1">IF(AND('Input data (2)'!$C$2=4,$D16&gt;=0),OFFSET('Input data (2)'!AZ$126,'Input data (2)'!$BL$1-$D16,0),IF(AND('Input data (2)'!$C$2=3,$C16&gt;=0),OFFSET('Input data (2)'!AZ$126,'Input data (2)'!$BL$1-$C16,0),IF(AND('Input data (2)'!$C$2=2,$B16&gt;=0),OFFSET('Input data (2)'!AZ$126,'Input data (2)'!$BL$1-$B16,0),IF(AND('Input data (2)'!$C$2=1,$A16&gt;=0),OFFSET('Input data (2)'!AZ$126,'Input data (2)'!$BL$1-$A16,0),""))))</f>
        <v>:</v>
      </c>
      <c r="BE30" s="1">
        <f ca="1">IF(AND('Input data (2)'!$C$2=4,$D16&gt;=0),OFFSET('Input data (2)'!BA$126,'Input data (2)'!$BL$1-$D16,0),IF(AND('Input data (2)'!$C$2=3,$C16&gt;=0),OFFSET('Input data (2)'!BA$126,'Input data (2)'!$BL$1-$C16,0),IF(AND('Input data (2)'!$C$2=2,$B16&gt;=0),OFFSET('Input data (2)'!BA$126,'Input data (2)'!$BL$1-$B16,0),IF(AND('Input data (2)'!$C$2=1,$A16&gt;=0),OFFSET('Input data (2)'!BA$126,'Input data (2)'!$BL$1-$A16,0),""))))</f>
        <v>1889</v>
      </c>
      <c r="BF30" s="1">
        <f ca="1">IF(AND('Input data (2)'!$C$2=4,$D16&gt;=0),OFFSET('Input data (2)'!AP$126,'Input data (2)'!$BL$1-$D16,0),IF(AND('Input data (2)'!$C$2=3,$C16&gt;=0),OFFSET('Input data (2)'!AP$126,'Input data (2)'!$BL$1-$C16,0),IF(AND('Input data (2)'!$C$2=2,$B16&gt;=0),OFFSET('Input data (2)'!AP$126,'Input data (2)'!$BL$1-$B16,0),IF(AND('Input data (2)'!$C$2=1,$A16&gt;=0),OFFSET('Input data (2)'!AP$126,'Input data (2)'!$BL$1-$A16,0),""))))</f>
        <v>128</v>
      </c>
      <c r="BG30" s="1">
        <f ca="1">IF(AND('Input data (2)'!$C$2=4,$D16&gt;=0),OFFSET('Input data (2)'!AN$126,'Input data (2)'!$BL$1-$D16,0),IF(AND('Input data (2)'!$C$2=3,$C16&gt;=0),OFFSET('Input data (2)'!AN$126,'Input data (2)'!$BL$1-$C16,0),IF(AND('Input data (2)'!$C$2=2,$B16&gt;=0),OFFSET('Input data (2)'!AN$126,'Input data (2)'!$BL$1-$B16,0),IF(AND('Input data (2)'!$C$2=1,$A16&gt;=0),OFFSET('Input data (2)'!AN$126,'Input data (2)'!$BL$1-$A16,0),""))))</f>
        <v>96</v>
      </c>
      <c r="BH30" s="1">
        <f ca="1">IF(AND('Input data (2)'!$C$2=4,$D16&gt;=0),OFFSET('Input data (2)'!AO$126,'Input data (2)'!$BL$1-$D16,0),IF(AND('Input data (2)'!$C$2=3,$C16&gt;=0),OFFSET('Input data (2)'!AO$126,'Input data (2)'!$BL$1-$C16,0),IF(AND('Input data (2)'!$C$2=2,$B16&gt;=0),OFFSET('Input data (2)'!AO$126,'Input data (2)'!$BL$1-$B16,0),IF(AND('Input data (2)'!$C$2=1,$A16&gt;=0),OFFSET('Input data (2)'!AO$126,'Input data (2)'!$BL$1-$A16,0),""))))</f>
        <v>32</v>
      </c>
      <c r="BJ30" s="1">
        <f ca="1">IF(AND('Input data (2)'!$C$2=4,$D16&gt;=0),OFFSET('Input data (2)'!AU$126,'Input data (2)'!$BL$1-$D16,0),IF(AND('Input data (2)'!$C$2=3,$C16&gt;=0),OFFSET('Input data (2)'!AU$126,'Input data (2)'!$BL$1-$C16,0),IF(AND('Input data (2)'!$C$2=2,$B16&gt;=0),OFFSET('Input data (2)'!AU$126,'Input data (2)'!$BL$1-$B16,0),IF(AND('Input data (2)'!$C$2=1,$A16&gt;=0),OFFSET('Input data (2)'!AU$126,'Input data (2)'!$BL$1-$A16,0),""))))</f>
        <v>11</v>
      </c>
      <c r="BK30" s="1">
        <f ca="1">IF(AND('Input data (2)'!$C$2=4,$D16&gt;=0),OFFSET('Input data (2)'!AV$126,'Input data (2)'!$BL$1-$D16,0),IF(AND('Input data (2)'!$C$2=3,$C16&gt;=0),OFFSET('Input data (2)'!AV$126,'Input data (2)'!$BL$1-$C16,0),IF(AND('Input data (2)'!$C$2=2,$B16&gt;=0),OFFSET('Input data (2)'!AV$126,'Input data (2)'!$BL$1-$B16,0),IF(AND('Input data (2)'!$C$2=1,$A16&gt;=0),OFFSET('Input data (2)'!AV$126,'Input data (2)'!$BL$1-$A16,0),""))))</f>
        <v>0</v>
      </c>
      <c r="BL30" s="1">
        <f ca="1">IF(AND('Input data (2)'!$C$2=4,$D16&gt;=0),OFFSET('Input data (2)'!AW$126,'Input data (2)'!$BL$1-$D16,0),IF(AND('Input data (2)'!$C$2=3,$C16&gt;=0),OFFSET('Input data (2)'!AW$126,'Input data (2)'!$BL$1-$C16,0),IF(AND('Input data (2)'!$C$2=2,$B16&gt;=0),OFFSET('Input data (2)'!AW$126,'Input data (2)'!$BL$1-$B16,0),IF(AND('Input data (2)'!$C$2=1,$A16&gt;=0),OFFSET('Input data (2)'!AW$126,'Input data (2)'!$BL$1-$A16,0),""))))</f>
        <v>28</v>
      </c>
      <c r="BM30" s="1">
        <f ca="1">IF(AND('Input data (2)'!$C$2=4,$D16&gt;=0),OFFSET('Input data (2)'!AX$126,'Input data (2)'!$BL$1-$D16,0),IF(AND('Input data (2)'!$C$2=3,$C16&gt;=0),OFFSET('Input data (2)'!AX$126,'Input data (2)'!$BL$1-$C16,0),IF(AND('Input data (2)'!$C$2=2,$B16&gt;=0),OFFSET('Input data (2)'!AX$126,'Input data (2)'!$BL$1-$B16,0),IF(AND('Input data (2)'!$C$2=1,$A16&gt;=0),OFFSET('Input data (2)'!AX$126,'Input data (2)'!$BL$1-$A16,0),""))))</f>
        <v>2</v>
      </c>
      <c r="BO30" s="1">
        <f ca="1">IF(AND('Input data (2)'!$C$2=4,$D16&gt;=0),OFFSET('Input data (2)'!BL$126,'Input data (2)'!$BL$1-$D16,0),IF(AND('Input data (2)'!$C$2=3,$C16&gt;=0),OFFSET('Input data (2)'!BL$126,'Input data (2)'!$BL$1-$C16,0),IF(AND('Input data (2)'!$C$2=2,$B16&gt;=0),OFFSET('Input data (2)'!BL$126,'Input data (2)'!$BL$1-$B16,0),IF(AND('Input data (2)'!$C$2=1,$A16&gt;=0),OFFSET('Input data (2)'!BL$126,'Input data (2)'!$BL$1-$A16,0),""))))</f>
        <v>408</v>
      </c>
      <c r="BP30" s="1">
        <f ca="1">IF(AND('Input data (2)'!$C$2=4,$D16&gt;=0),OFFSET('Input data (2)'!BI$126,'Input data (2)'!$BL$1-$D16,0),IF(AND('Input data (2)'!$C$2=3,$C16&gt;=0),OFFSET('Input data (2)'!BI$126,'Input data (2)'!$BL$1-$C16,0),IF(AND('Input data (2)'!$C$2=2,$B16&gt;=0),OFFSET('Input data (2)'!BI$126,'Input data (2)'!$BL$1-$B16,0),IF(AND('Input data (2)'!$C$2=1,$A16&gt;=0),OFFSET('Input data (2)'!BI$126,'Input data (2)'!$BL$1-$A16,0),""))))</f>
        <v>245</v>
      </c>
      <c r="BQ30" s="1" t="str">
        <f ca="1">IF(AND('Input data (2)'!$C$2=4,$D16&gt;=0),OFFSET('Input data (2)'!BK$126,'Input data (2)'!$BL$1-$D16,0),IF(AND('Input data (2)'!$C$2=3,$C16&gt;=0),OFFSET('Input data (2)'!BK$126,'Input data (2)'!$BL$1-$C16,0),IF(AND('Input data (2)'!$C$2=2,$B16&gt;=0),OFFSET('Input data (2)'!BK$126,'Input data (2)'!$BL$1-$B16,0),IF(AND('Input data (2)'!$C$2=1,$A16&gt;=0),OFFSET('Input data (2)'!BK$126,'Input data (2)'!$BL$1-$A16,0),""))))</f>
        <v>..</v>
      </c>
      <c r="BR30" s="1">
        <f ca="1">IF(AND('Input data (2)'!$C$2=4,$D16&gt;=0),OFFSET('Input data (2)'!BJ$126,'Input data (2)'!$BL$1-$D16,0),IF(AND('Input data (2)'!$C$2=3,$C16&gt;=0),OFFSET('Input data (2)'!BJ$126,'Input data (2)'!$BL$1-$C16,0),IF(AND('Input data (2)'!$C$2=2,$B16&gt;=0),OFFSET('Input data (2)'!BJ$126,'Input data (2)'!$BL$1-$B16,0),IF(AND('Input data (2)'!$C$2=1,$A16&gt;=0),OFFSET('Input data (2)'!BJ$126,'Input data (2)'!$BL$1-$A16,0),""))))</f>
        <v>163</v>
      </c>
      <c r="BS30" s="1">
        <f ca="1">IF(AND('Input data (2)'!$C$2=4,$D16&gt;=0),OFFSET('Input data (2)'!BF$126,'Input data (2)'!$BL$1-$D16,0),IF(AND('Input data (2)'!$C$2=3,$C16&gt;=0),OFFSET('Input data (2)'!BF$126,'Input data (2)'!$BL$1-$C16,0),IF(AND('Input data (2)'!$C$2=2,$B16&gt;=0),OFFSET('Input data (2)'!BF$126,'Input data (2)'!$BL$1-$B16,0),IF(AND('Input data (2)'!$C$2=1,$A16&gt;=0),OFFSET('Input data (2)'!BF$126,'Input data (2)'!$BL$1-$A16,0),""))))</f>
        <v>29</v>
      </c>
      <c r="BT30" s="1">
        <f ca="1">IF(AND('Input data (2)'!$C$2=4,$D16&gt;=0),OFFSET('Input data (2)'!BD$126,'Input data (2)'!$BL$1-$D16,0),IF(AND('Input data (2)'!$C$2=3,$C16&gt;=0),OFFSET('Input data (2)'!BD$126,'Input data (2)'!$BL$1-$C16,0),IF(AND('Input data (2)'!$C$2=2,$B16&gt;=0),OFFSET('Input data (2)'!BD$126,'Input data (2)'!$BL$1-$B16,0),IF(AND('Input data (2)'!$C$2=1,$A16&gt;=0),OFFSET('Input data (2)'!BD$126,'Input data (2)'!$BL$1-$A16,0),""))))</f>
        <v>19</v>
      </c>
      <c r="BU30" s="1">
        <f ca="1">IF(AND('Input data (2)'!$C$2=4,$D16&gt;=0),OFFSET('Input data (2)'!BE$126,'Input data (2)'!$BL$1-$D16,0),IF(AND('Input data (2)'!$C$2=3,$C16&gt;=0),OFFSET('Input data (2)'!BE$126,'Input data (2)'!$BL$1-$C16,0),IF(AND('Input data (2)'!$C$2=2,$B16&gt;=0),OFFSET('Input data (2)'!BE$126,'Input data (2)'!$BL$1-$B16,0),IF(AND('Input data (2)'!$C$2=1,$A16&gt;=0),OFFSET('Input data (2)'!BE$126,'Input data (2)'!$BL$1-$A16,0),""))))</f>
        <v>10</v>
      </c>
      <c r="BW30" s="7">
        <f ca="1">IF(AND('Input data (2)'!$C$2=4,$D16&gt;=0),OFFSET('Input data (2)'!J$126,'Input data (2)'!$BL$1-$D16,0),IF(AND('Input data (2)'!$C$2=3,$C16&gt;=0),OFFSET('Input data (2)'!J$126,'Input data (2)'!$BL$1-$C16,0),IF(AND('Input data (2)'!$C$2=2,$B16&gt;=0),OFFSET('Input data (2)'!J$126,'Input data (2)'!$BL$1-$B16,0),IF(AND('Input data (2)'!$C$2=1,$A16&gt;=0),OFFSET('Input data (2)'!J$126,'Input data (2)'!$BL$1-$A16,0),""))))</f>
        <v>0.72935246247973418</v>
      </c>
      <c r="BX30" s="7">
        <f ca="1">IF(AND('Input data (2)'!$C$2=4,$D16&gt;=0),OFFSET('Input data (2)'!K$126,'Input data (2)'!$BL$1-$D16,0),IF(AND('Input data (2)'!$C$2=3,$C16&gt;=0),OFFSET('Input data (2)'!K$126,'Input data (2)'!$BL$1-$C16,0),IF(AND('Input data (2)'!$C$2=2,$B16&gt;=0),OFFSET('Input data (2)'!K$126,'Input data (2)'!$BL$1-$B16,0),IF(AND('Input data (2)'!$C$2=1,$A16&gt;=0),OFFSET('Input data (2)'!K$126,'Input data (2)'!$BL$1-$A16,0),""))))</f>
        <v>0.66792567117184309</v>
      </c>
      <c r="BY30" s="7">
        <f ca="1">IF(AND('Input data (2)'!$C$2=4,$D16&gt;=0),OFFSET('Input data (2)'!AS$126,'Input data (2)'!$BL$1-$D16,0),IF(AND('Input data (2)'!$C$2=3,$C16&gt;=0),OFFSET('Input data (2)'!AS$126,'Input data (2)'!$BL$1-$C16,0),IF(AND('Input data (2)'!$C$2=2,$B16&gt;=0),OFFSET('Input data (2)'!AS$126,'Input data (2)'!$BL$1-$B16,0),IF(AND('Input data (2)'!$C$2=1,$A16&gt;=0),OFFSET('Input data (2)'!AS$126,'Input data (2)'!$BL$1-$A16,0),""))))</f>
        <v>0.50799576904277888</v>
      </c>
      <c r="BZ30" s="7">
        <f ca="1">IF(AND('Input data (2)'!$C$2=4,$D16&gt;=0),OFFSET('Input data (2)'!AT$126,'Input data (2)'!$BL$1-$D16,0),IF(AND('Input data (2)'!$C$2=3,$C16&gt;=0),OFFSET('Input data (2)'!AT$126,'Input data (2)'!$BL$1-$C16,0),IF(AND('Input data (2)'!$C$2=2,$B16&gt;=0),OFFSET('Input data (2)'!AT$126,'Input data (2)'!$BL$1-$B16,0),IF(AND('Input data (2)'!$C$2=1,$A16&gt;=0),OFFSET('Input data (2)'!AT$126,'Input data (2)'!$BL$1-$A16,0),""))))</f>
        <v>0.4642224410586997</v>
      </c>
      <c r="CB30" s="122"/>
      <c r="CC30" s="122"/>
      <c r="CD30" s="122"/>
      <c r="CE30" s="122"/>
      <c r="CG30" s="1">
        <v>14</v>
      </c>
      <c r="CI30" s="1">
        <f t="shared" ca="1" si="24"/>
        <v>2009</v>
      </c>
      <c r="CJ30" s="1" t="str">
        <f t="shared" si="25"/>
        <v>Q4</v>
      </c>
      <c r="CK30" s="1" t="str">
        <f t="shared" ca="1" si="12"/>
        <v>09</v>
      </c>
      <c r="CL30" s="1" t="str">
        <f t="shared" ca="1" si="13"/>
        <v>Q4 09</v>
      </c>
      <c r="CM30" s="1">
        <f ca="1">OFFSET('Input data (2)'!AJ$126,'Input data (2)'!$BL$1-'Output data - DO NOT TOUCH (2)'!$CG30,0)/1000</f>
        <v>17.933</v>
      </c>
      <c r="CN30" s="1">
        <f ca="1">OFFSET('Input data (2)'!AK$126,'Input data (2)'!$BL$1-'Output data - DO NOT TOUCH (2)'!$CG30,0)/1000</f>
        <v>13.018000000000001</v>
      </c>
      <c r="CO30" s="1" t="e">
        <f ca="1">OFFSET('Input data (2)'!AL$126,'Input data (2)'!$BL$1-'Output data - DO NOT TOUCH (2)'!$CG30,0)/1000</f>
        <v>#VALUE!</v>
      </c>
      <c r="CP30" s="1"/>
      <c r="CQ30" s="1">
        <f ca="1">OFFSET('Input data (2)'!AG$126,'Input data (2)'!$BL$1-'Output data - DO NOT TOUCH (2)'!$CG30,0)/1000</f>
        <v>1.2989999999999999</v>
      </c>
      <c r="CR30" s="1">
        <f ca="1">OFFSET('Input data (2)'!AH$126,'Input data (2)'!$BL$1-'Output data - DO NOT TOUCH (2)'!$CG30,0)/1000</f>
        <v>3.2210000000000001</v>
      </c>
      <c r="CS30" s="1">
        <f ca="1">OFFSET('Input data (2)'!AI$126,'Input data (2)'!$BL$1-'Output data - DO NOT TOUCH (2)'!$CG30,0)/1000</f>
        <v>4.5199999999999996</v>
      </c>
      <c r="CT30" s="1"/>
      <c r="CU30" s="1">
        <f ca="1">OFFSET('Input data (2)'!L$126,'Input data (2)'!$BL$1-'Output data - DO NOT TOUCH (2)'!$CG30,0)</f>
        <v>397</v>
      </c>
      <c r="CV30" s="1">
        <f ca="1">OFFSET('Input data (2)'!M$126,'Input data (2)'!$BL$1-'Output data - DO NOT TOUCH (2)'!$CG30,0)</f>
        <v>0</v>
      </c>
      <c r="CW30" s="67">
        <f ca="1">OFFSET('Input data (2)'!N$126,'Input data (2)'!$BL$1-'Output data - DO NOT TOUCH (2)'!$CG30,0)</f>
        <v>849</v>
      </c>
      <c r="CX30" s="1">
        <f ca="1">OFFSET('Input data (2)'!P$126,'Input data (2)'!$BL$1-'Output data - DO NOT TOUCH (2)'!$CG30,0)</f>
        <v>219</v>
      </c>
      <c r="CY30" s="1"/>
      <c r="CZ30" s="1">
        <f ca="1">OFFSET('Input data (2)'!AY$126,'Input data (2)'!$BL$1-'Output data - DO NOT TOUCH (2)'!$CG30,0)/1000</f>
        <v>3.3650000000000002</v>
      </c>
      <c r="DA30" s="1">
        <f ca="1">OFFSET('Input data (2)'!BA$126,'Input data (2)'!$BL$1-'Output data - DO NOT TOUCH (2)'!$CG30,0)/1000</f>
        <v>2.3279999999999998</v>
      </c>
      <c r="DB30" s="1">
        <f ca="1">OFFSET('Input data (2)'!BB$126,'Input data (2)'!$BL$1-'Output data - DO NOT TOUCH (2)'!$CG30,0)/1000</f>
        <v>5.6929999999999996</v>
      </c>
      <c r="DD30" s="1">
        <f ca="1">OFFSET('Input data (2)'!AN$126,'Input data (2)'!$BL$1-'Output data - DO NOT TOUCH (2)'!$CG30,0)</f>
        <v>106</v>
      </c>
      <c r="DE30" s="1">
        <f ca="1">OFFSET('Input data (2)'!AO$126,'Input data (2)'!$BL$1-'Output data - DO NOT TOUCH (2)'!$CG30,0)</f>
        <v>48</v>
      </c>
      <c r="DF30" s="1">
        <f ca="1">OFFSET('Input data (2)'!AP$126,'Input data (2)'!$BL$1-'Output data - DO NOT TOUCH (2)'!$CG30,0)</f>
        <v>154</v>
      </c>
      <c r="DG30" s="1"/>
      <c r="DH30" s="1">
        <f ca="1">OFFSET('Input data (2)'!AU$126,'Input data (2)'!$BL$1-'Output data - DO NOT TOUCH (2)'!$CG30,0)</f>
        <v>6</v>
      </c>
      <c r="DI30" s="1">
        <f ca="1">OFFSET('Input data (2)'!AV$126,'Input data (2)'!$BL$1-'Output data - DO NOT TOUCH (2)'!$CG30,0)</f>
        <v>0</v>
      </c>
      <c r="DJ30" s="1">
        <f ca="1">OFFSET('Input data (2)'!AW$126,'Input data (2)'!$BL$1-'Output data - DO NOT TOUCH (2)'!$CG30,0)</f>
        <v>23</v>
      </c>
      <c r="DK30" s="1">
        <f ca="1">OFFSET('Input data (2)'!AX$126,'Input data (2)'!$BL$1-'Output data - DO NOT TOUCH (2)'!$CG30,0)</f>
        <v>2</v>
      </c>
      <c r="DM30" s="1">
        <f ca="1">OFFSET('Input data (2)'!BI$126,'Input data (2)'!$BL$1-'Output data - DO NOT TOUCH (2)'!$CG30,0)</f>
        <v>381</v>
      </c>
      <c r="DN30" s="1">
        <f ca="1">OFFSET('Input data (2)'!BJ$126,'Input data (2)'!$BL$1-'Output data - DO NOT TOUCH (2)'!$CG30,0)</f>
        <v>192</v>
      </c>
      <c r="DO30" s="1">
        <f ca="1">OFFSET('Input data (2)'!BL$126,'Input data (2)'!$BL$1-'Output data - DO NOT TOUCH (2)'!$CG30,0)</f>
        <v>573</v>
      </c>
      <c r="DQ30" s="1">
        <f ca="1">OFFSET('Input data (2)'!BD$126,'Input data (2)'!$BL$1-'Output data - DO NOT TOUCH (2)'!$CG30,0)</f>
        <v>57</v>
      </c>
      <c r="DR30" s="1">
        <f ca="1">OFFSET('Input data (2)'!BE$126,'Input data (2)'!$BL$1-'Output data - DO NOT TOUCH (2)'!$CG30,0)</f>
        <v>17</v>
      </c>
      <c r="DS30" s="1">
        <f ca="1">OFFSET('Input data (2)'!BF$126,'Input data (2)'!$BL$1-'Output data - DO NOT TOUCH (2)'!$CG30,0)</f>
        <v>74</v>
      </c>
      <c r="DU30" s="1">
        <f ca="1">OFFSET('Input data (2)'!B$126,'Input data (2)'!$BL$1-'Output data - DO NOT TOUCH (2)'!$CG30-1,0)</f>
        <v>2009</v>
      </c>
      <c r="DV30" s="1" t="str">
        <f ca="1">OFFSET('Input data (2)'!C$126,'Input data (2)'!$BL$1-'Output data - DO NOT TOUCH (2)'!$CG30-1,0)</f>
        <v>Q3</v>
      </c>
      <c r="DW30" s="1" t="str">
        <f t="shared" ca="1" si="14"/>
        <v>09</v>
      </c>
      <c r="DX30" s="1" t="str">
        <f t="shared" ca="1" si="15"/>
        <v>Q3 09</v>
      </c>
      <c r="DY30" s="1">
        <f ca="1">OFFSET('Input data (2)'!W$126,'Input data (2)'!$BL$1-'Output data - DO NOT TOUCH (2)'!$CG30-1,0)/1000</f>
        <v>2.2799999999999998</v>
      </c>
      <c r="DZ30" s="1">
        <f ca="1">OFFSET('Input data (2)'!Y$126,'Input data (2)'!$BL$1-'Output data - DO NOT TOUCH (2)'!$CG30-1,0)/1000</f>
        <v>16.067</v>
      </c>
      <c r="EA30" s="1">
        <f ca="1">OFFSET('Input data (2)'!Q$126,'Input data (2)'!$BL$1-'Output data - DO NOT TOUCH (2)'!$CG30-1,0)/1000</f>
        <v>18.347000000000001</v>
      </c>
    </row>
    <row r="31" spans="1:140" x14ac:dyDescent="0.15">
      <c r="A31" s="1">
        <v>13</v>
      </c>
      <c r="B31" s="1">
        <v>14</v>
      </c>
      <c r="C31" s="1">
        <v>15</v>
      </c>
      <c r="D31" s="1">
        <v>12</v>
      </c>
      <c r="E31" s="1" t="str">
        <f>F31&amp;G31</f>
        <v>2006Q2</v>
      </c>
      <c r="F31" s="1">
        <f>F26+1</f>
        <v>2006</v>
      </c>
      <c r="G31" s="1" t="s">
        <v>2</v>
      </c>
      <c r="H31" s="1">
        <f>VLOOKUP($E31,'Input data (2)'!$A:$BL,'Output data - DO NOT TOUCH (2)'!H$71,FALSE)</f>
        <v>3235</v>
      </c>
      <c r="I31" s="1">
        <f>VLOOKUP($E31,'Input data (2)'!$A:$BL,'Output data - DO NOT TOUCH (2)'!I$71,FALSE)</f>
        <v>1263</v>
      </c>
      <c r="J31" s="1">
        <f>VLOOKUP($E31,'Input data (2)'!$A:$BL,'Output data - DO NOT TOUCH (2)'!J$71,FALSE)</f>
        <v>1972</v>
      </c>
      <c r="K31" s="1">
        <f>VLOOKUP($E31,'Input data (2)'!$A:$BL,'Output data - DO NOT TOUCH (2)'!K$71,FALSE)</f>
        <v>3194</v>
      </c>
      <c r="L31" s="1">
        <f>VLOOKUP($E31,'Input data (2)'!$A:$BL,'Output data - DO NOT TOUCH (2)'!L$71,FALSE)</f>
        <v>1241</v>
      </c>
      <c r="M31" s="1">
        <f>VLOOKUP($E31,'Input data (2)'!$A:$BL,'Output data - DO NOT TOUCH (2)'!M$71,FALSE)</f>
        <v>1953</v>
      </c>
      <c r="O31" s="119">
        <f ca="1">IF(AND('Input data (2)'!$C$2=4,$D17&gt;=0),OFFSET('Input data (2)'!O$126,'Input data (2)'!$BL$1-$D17,0),IF(AND('Input data (2)'!$C$2=3,$C17&gt;=0),OFFSET('Input data (2)'!O$126,'Input data (2)'!$BL$1-$C17,0),IF(AND('Input data (2)'!$C$2=2,$B17&gt;=0),OFFSET('Input data (2)'!O$126,'Input data (2)'!$BL$1-$B17,0),IF(AND('Input data (2)'!$C$2=1,$A17&gt;=0),OFFSET('Input data (2)'!O$126,'Input data (2)'!$BL$1-$A17,0),""))))</f>
        <v>216</v>
      </c>
      <c r="Q31" s="1">
        <f ca="1">IF(AND('Input data (2)'!$C$2=4,$D17&gt;=0),OFFSET('Input data (2)'!AC$126,'Input data (2)'!$BL$1-$D17,0),IF(AND('Input data (2)'!$C$2=3,$C17&gt;=0),OFFSET('Input data (2)'!AC$126,'Input data (2)'!$BL$1-$C17,0),IF(AND('Input data (2)'!$C$2=2,$B17&gt;=0),OFFSET('Input data (2)'!AC$126,'Input data (2)'!$BL$1-$B17,0),IF(AND('Input data (2)'!$C$2=1,$A17&gt;=0),OFFSET('Input data (2)'!AC$126,'Input data (2)'!$BL$1-$A17,0),""))))</f>
        <v>26722</v>
      </c>
      <c r="R31" s="1">
        <f ca="1">IF(AND('Input data (2)'!$C$2=4,$D17&gt;=0),OFFSET('Input data (2)'!Q$126,'Input data (2)'!$BL$1-$D17,0),IF(AND('Input data (2)'!$C$2=3,$C17&gt;=0),OFFSET('Input data (2)'!Q$126,'Input data (2)'!$BL$1-$C17,0),IF(AND('Input data (2)'!$C$2=2,$B17&gt;=0),OFFSET('Input data (2)'!Q$126,'Input data (2)'!$BL$1-$B17,0),IF(AND('Input data (2)'!$C$2=1,$A17&gt;=0),OFFSET('Input data (2)'!Q$126,'Input data (2)'!$BL$1-$A17,0),""))))</f>
        <v>15489</v>
      </c>
      <c r="S31" s="1" t="str">
        <f ca="1">IF(AND('Input data (2)'!$C$2=4,$D17&gt;=0),OFFSET('Input data (2)'!R$126,'Input data (2)'!$BL$1-$D17,0),IF(AND('Input data (2)'!$C$2=3,$C17&gt;=0),OFFSET('Input data (2)'!R$126,'Input data (2)'!$BL$1-$C17,0),IF(AND('Input data (2)'!$C$2=2,$B17&gt;=0),OFFSET('Input data (2)'!R$126,'Input data (2)'!$BL$1-$B17,0),IF(AND('Input data (2)'!$C$2=1,$A17&gt;=0),OFFSET('Input data (2)'!R$126,'Input data (2)'!$BL$1-$A17,0),""))))</f>
        <v>:</v>
      </c>
      <c r="T31" s="1">
        <f ca="1">IF(AND('Input data (2)'!$C$2=4,$D17&gt;=0),OFFSET('Input data (2)'!AA$126,'Input data (2)'!$BL$1-$D17,0),IF(AND('Input data (2)'!$C$2=3,$C17&gt;=0),OFFSET('Input data (2)'!AA$126,'Input data (2)'!$BL$1-$C17,0),IF(AND('Input data (2)'!$C$2=2,$B17&gt;=0),OFFSET('Input data (2)'!AA$126,'Input data (2)'!$BL$1-$B17,0),IF(AND('Input data (2)'!$C$2=1,$A17&gt;=0),OFFSET('Input data (2)'!AA$126,'Input data (2)'!$BL$1-$A17,0),""))))</f>
        <v>11233</v>
      </c>
      <c r="U31" s="1">
        <f ca="1">IF(AND('Input data (2)'!$C$2=4,$D17&gt;=0),OFFSET('Input data (2)'!AL$126,'Input data (2)'!$BL$1-$D17,0),IF(AND('Input data (2)'!$C$2=3,$C17&gt;=0),OFFSET('Input data (2)'!AL$126,'Input data (2)'!$BL$1-$C17,0),IF(AND('Input data (2)'!$C$2=2,$B17&gt;=0),OFFSET('Input data (2)'!AL$126,'Input data (2)'!$BL$1-$B17,0),IF(AND('Input data (2)'!$C$2=1,$A17&gt;=0),OFFSET('Input data (2)'!AL$126,'Input data (2)'!$BL$1-$A17,0),""))))</f>
        <v>26296</v>
      </c>
      <c r="V31" s="1">
        <f ca="1">IF(AND('Input data (2)'!$C$2=4,$D17&gt;=0),OFFSET('Input data (2)'!AJ$126,'Input data (2)'!$BL$1-$D17,0),IF(AND('Input data (2)'!$C$2=3,$C17&gt;=0),OFFSET('Input data (2)'!AJ$126,'Input data (2)'!$BL$1-$C17,0),IF(AND('Input data (2)'!$C$2=2,$B17&gt;=0),OFFSET('Input data (2)'!AJ$126,'Input data (2)'!$BL$1-$B17,0),IF(AND('Input data (2)'!$C$2=1,$A17&gt;=0),OFFSET('Input data (2)'!AJ$126,'Input data (2)'!$BL$1-$A17,0),""))))</f>
        <v>15265</v>
      </c>
      <c r="W31" s="1">
        <f ca="1">IF(AND('Input data (2)'!$C$2=4,$D17&gt;=0),OFFSET('Input data (2)'!AK$126,'Input data (2)'!$BL$1-$D17,0),IF(AND('Input data (2)'!$C$2=3,$C17&gt;=0),OFFSET('Input data (2)'!AK$126,'Input data (2)'!$BL$1-$C17,0),IF(AND('Input data (2)'!$C$2=2,$B17&gt;=0),OFFSET('Input data (2)'!AK$126,'Input data (2)'!$BL$1-$B17,0),IF(AND('Input data (2)'!$C$2=1,$A17&gt;=0),OFFSET('Input data (2)'!AK$126,'Input data (2)'!$BL$1-$A17,0),""))))</f>
        <v>11031</v>
      </c>
      <c r="Y31" s="1">
        <f ca="1">IF(AND('Input data (2)'!$C$2=4,$D17&gt;=0),OFFSET('Input data (2)'!Q$126,'Input data (2)'!$BL$1-$D17,0),IF(AND('Input data (2)'!$C$2=3,$C17&gt;=0),OFFSET('Input data (2)'!Q$126,'Input data (2)'!$BL$1-$C17,0),IF(AND('Input data (2)'!$C$2=2,$B17&gt;=0),OFFSET('Input data (2)'!Q$126,'Input data (2)'!$BL$1-$B17,0),IF(AND('Input data (2)'!$C$2=1,$A17&gt;=0),OFFSET('Input data (2)'!Q$126,'Input data (2)'!$BL$1-$A17,0),""))))</f>
        <v>15489</v>
      </c>
      <c r="Z31" s="1">
        <f ca="1">IF(AND('Input data (2)'!$C$2=4,$D17&gt;=0),OFFSET('Input data (2)'!S$126,'Input data (2)'!$BL$1-$D17,0),IF(AND('Input data (2)'!$C$2=3,$C17&gt;=0),OFFSET('Input data (2)'!S$126,'Input data (2)'!$BL$1-$C17,0),IF(AND('Input data (2)'!$C$2=2,$B17&gt;=0),OFFSET('Input data (2)'!S$126,'Input data (2)'!$BL$1-$B17,0),IF(AND('Input data (2)'!$C$2=1,$A17&gt;=0),OFFSET('Input data (2)'!S$126,'Input data (2)'!$BL$1-$A17,0),""))))</f>
        <v>13086</v>
      </c>
      <c r="AA31" s="1">
        <f ca="1">IF(AND('Input data (2)'!$C$2=4,$D17&gt;=0),OFFSET('Input data (2)'!T$126,'Input data (2)'!$BL$1-$D17,0),IF(AND('Input data (2)'!$C$2=3,$C17&gt;=0),OFFSET('Input data (2)'!T$126,'Input data (2)'!$BL$1-$C17,0),IF(AND('Input data (2)'!$C$2=2,$B17&gt;=0),OFFSET('Input data (2)'!T$126,'Input data (2)'!$BL$1-$B17,0),IF(AND('Input data (2)'!$C$2=1,$A17&gt;=0),OFFSET('Input data (2)'!T$126,'Input data (2)'!$BL$1-$A17,0),""))))</f>
        <v>84.485764090644977</v>
      </c>
      <c r="AB31" s="1">
        <f ca="1">IF(AND('Input data (2)'!$C$2=4,$D17&gt;=0),OFFSET('Input data (2)'!U$126,'Input data (2)'!$BL$1-$D17,0),IF(AND('Input data (2)'!$C$2=3,$C17&gt;=0),OFFSET('Input data (2)'!U$126,'Input data (2)'!$BL$1-$C17,0),IF(AND('Input data (2)'!$C$2=2,$B17&gt;=0),OFFSET('Input data (2)'!U$126,'Input data (2)'!$BL$1-$B17,0),IF(AND('Input data (2)'!$C$2=1,$A17&gt;=0),OFFSET('Input data (2)'!U$126,'Input data (2)'!$BL$1-$A17,0),""))))</f>
        <v>2403</v>
      </c>
      <c r="AC31" s="1">
        <f ca="1">IF(AND('Input data (2)'!$C$2=4,$D17&gt;=0),OFFSET('Input data (2)'!V$126,'Input data (2)'!$BL$1-$D17,0),IF(AND('Input data (2)'!$C$2=3,$C17&gt;=0),OFFSET('Input data (2)'!V$126,'Input data (2)'!$BL$1-$C17,0),IF(AND('Input data (2)'!$C$2=2,$B17&gt;=0),OFFSET('Input data (2)'!V$126,'Input data (2)'!$BL$1-$B17,0),IF(AND('Input data (2)'!$C$2=1,$A17&gt;=0),OFFSET('Input data (2)'!V$126,'Input data (2)'!$BL$1-$A17,0),""))))</f>
        <v>15.514235909355026</v>
      </c>
      <c r="AD31" s="1">
        <f ca="1">IF(AND('Input data (2)'!$C$2=4,$D17&gt;=0),OFFSET('Input data (2)'!Q$126,'Input data (2)'!$BL$1-$D17,0),IF(AND('Input data (2)'!$C$2=3,$C17&gt;=0),OFFSET('Input data (2)'!Q$126,'Input data (2)'!$BL$1-$C17,0),IF(AND('Input data (2)'!$C$2=2,$B17&gt;=0),OFFSET('Input data (2)'!Q$126,'Input data (2)'!$BL$1-$B17,0),IF(AND('Input data (2)'!$C$2=1,$A17&gt;=0),OFFSET('Input data (2)'!Q$126,'Input data (2)'!$BL$1-$A17,0),""))))</f>
        <v>15489</v>
      </c>
      <c r="AE31" s="1">
        <f ca="1">IF(AND('Input data (2)'!$C$2=4,$D17&gt;=0),OFFSET('Input data (2)'!W$126,'Input data (2)'!$BL$1-$D17,0),IF(AND('Input data (2)'!$C$2=3,$C17&gt;=0),OFFSET('Input data (2)'!W$126,'Input data (2)'!$BL$1-$C17,0),IF(AND('Input data (2)'!$C$2=2,$B17&gt;=0),OFFSET('Input data (2)'!W$126,'Input data (2)'!$BL$1-$B17,0),IF(AND('Input data (2)'!$C$2=1,$A17&gt;=0),OFFSET('Input data (2)'!W$126,'Input data (2)'!$BL$1-$A17,0),""))))</f>
        <v>2898</v>
      </c>
      <c r="AF31" s="1">
        <f ca="1">IF(AND('Input data (2)'!$C$2=4,$D17&gt;=0),OFFSET('Input data (2)'!X$126,'Input data (2)'!$BL$1-$D17,0),IF(AND('Input data (2)'!$C$2=3,$C17&gt;=0),OFFSET('Input data (2)'!X$126,'Input data (2)'!$BL$1-$C17,0),IF(AND('Input data (2)'!$C$2=2,$B17&gt;=0),OFFSET('Input data (2)'!X$126,'Input data (2)'!$BL$1-$B17,0),IF(AND('Input data (2)'!$C$2=1,$A17&gt;=0),OFFSET('Input data (2)'!X$126,'Input data (2)'!$BL$1-$A17,0),""))))</f>
        <v>18.710052295177224</v>
      </c>
      <c r="AG31" s="1">
        <f ca="1">IF(AND('Input data (2)'!$C$2=4,$D17&gt;=0),OFFSET('Input data (2)'!Y$126,'Input data (2)'!$BL$1-$D17,0),IF(AND('Input data (2)'!$C$2=3,$C17&gt;=0),OFFSET('Input data (2)'!Y$126,'Input data (2)'!$BL$1-$C17,0),IF(AND('Input data (2)'!$C$2=2,$B17&gt;=0),OFFSET('Input data (2)'!Y$126,'Input data (2)'!$BL$1-$B17,0),IF(AND('Input data (2)'!$C$2=1,$A17&gt;=0),OFFSET('Input data (2)'!Y$126,'Input data (2)'!$BL$1-$A17,0),""))))</f>
        <v>12591</v>
      </c>
      <c r="AH31" s="1">
        <f ca="1">IF(AND('Input data (2)'!$C$2=4,$D17&gt;=0),OFFSET('Input data (2)'!Z$126,'Input data (2)'!$BL$1-$D17,0),IF(AND('Input data (2)'!$C$2=3,$C17&gt;=0),OFFSET('Input data (2)'!Z$126,'Input data (2)'!$BL$1-$C17,0),IF(AND('Input data (2)'!$C$2=2,$B17&gt;=0),OFFSET('Input data (2)'!Z$126,'Input data (2)'!$BL$1-$B17,0),IF(AND('Input data (2)'!$C$2=1,$A17&gt;=0),OFFSET('Input data (2)'!Z$126,'Input data (2)'!$BL$1-$A17,0),""))))</f>
        <v>81.289947704822779</v>
      </c>
      <c r="AI31" s="3"/>
      <c r="AJ31" s="124">
        <f ca="1">IF(AND('Input data (2)'!$C$2=4,$D17&gt;=0),OFFSET('Input data (2)'!AF$126,'Input data (2)'!$BL$1-$D17,0),IF(AND('Input data (2)'!$C$2=3,$C17&gt;=0),OFFSET('Input data (2)'!AF$126,'Input data (2)'!$BL$1-$C17,0),IF(AND('Input data (2)'!$C$2=2,$B17&gt;=0),OFFSET('Input data (2)'!AF$126,'Input data (2)'!$BL$1-$B17,0),IF(AND('Input data (2)'!$C$2=1,$A17&gt;=0),OFFSET('Input data (2)'!AF$126,'Input data (2)'!$BL$1-$A17,0),""))))</f>
        <v>2532</v>
      </c>
      <c r="AK31" s="124">
        <f ca="1">IF(AND('Input data (2)'!$C$2=4,$D17&gt;=0),OFFSET('Input data (2)'!AD$126,'Input data (2)'!$BL$1-$D17,0),IF(AND('Input data (2)'!$C$2=3,$C17&gt;=0),OFFSET('Input data (2)'!AD$126,'Input data (2)'!$BL$1-$C17,0),IF(AND('Input data (2)'!$C$2=2,$B17&gt;=0),OFFSET('Input data (2)'!AD$126,'Input data (2)'!$BL$1-$B17,0),IF(AND('Input data (2)'!$C$2=1,$A17&gt;=0),OFFSET('Input data (2)'!AD$126,'Input data (2)'!$BL$1-$A17,0),""))))</f>
        <v>21</v>
      </c>
      <c r="AL31" s="124">
        <f ca="1">IF(AND('Input data (2)'!$C$2=4,$D17&gt;=0),OFFSET('Input data (2)'!AE$126,'Input data (2)'!$BL$1-$D17,0),IF(AND('Input data (2)'!$C$2=3,$C17&gt;=0),OFFSET('Input data (2)'!AE$126,'Input data (2)'!$BL$1-$C17,0),IF(AND('Input data (2)'!$C$2=2,$B17&gt;=0),OFFSET('Input data (2)'!AE$126,'Input data (2)'!$BL$1-$B17,0),IF(AND('Input data (2)'!$C$2=1,$A17&gt;=0),OFFSET('Input data (2)'!AE$126,'Input data (2)'!$BL$1-$A17,0),""))))</f>
        <v>2511</v>
      </c>
      <c r="AW31" s="1">
        <f ca="1">IF(AND('Input data (2)'!$C$2=4,$D17&gt;=0),OFFSET('Input data (2)'!L$126,'Input data (2)'!$BL$1-$D17,0),IF(AND('Input data (2)'!$C$2=3,$C17&gt;=0),OFFSET('Input data (2)'!L$126,'Input data (2)'!$BL$1-$C17,0),IF(AND('Input data (2)'!$C$2=2,$B17&gt;=0),OFFSET('Input data (2)'!L$126,'Input data (2)'!$BL$1-$B17,0),IF(AND('Input data (2)'!$C$2=1,$A17&gt;=0),OFFSET('Input data (2)'!L$126,'Input data (2)'!$BL$1-$A17,0),""))))</f>
        <v>153</v>
      </c>
      <c r="AX31" s="1">
        <f ca="1">IF(AND('Input data (2)'!$C$2=4,$D17&gt;=0),OFFSET('Input data (2)'!M$126,'Input data (2)'!$BL$1-$D17,0),IF(AND('Input data (2)'!$C$2=3,$C17&gt;=0),OFFSET('Input data (2)'!M$126,'Input data (2)'!$BL$1-$C17,0),IF(AND('Input data (2)'!$C$2=2,$B17&gt;=0),OFFSET('Input data (2)'!M$126,'Input data (2)'!$BL$1-$B17,0),IF(AND('Input data (2)'!$C$2=1,$A17&gt;=0),OFFSET('Input data (2)'!M$126,'Input data (2)'!$BL$1-$A17,0),""))))</f>
        <v>0</v>
      </c>
      <c r="AY31" s="1">
        <f ca="1">IF(AND('Input data (2)'!$C$2=4,$D17&gt;=0),OFFSET('Input data (2)'!N$126,'Input data (2)'!$BL$1-$D17,0),IF(AND('Input data (2)'!$C$2=3,$C17&gt;=0),OFFSET('Input data (2)'!N$126,'Input data (2)'!$BL$1-$C17,0),IF(AND('Input data (2)'!$C$2=2,$B17&gt;=0),OFFSET('Input data (2)'!N$126,'Input data (2)'!$BL$1-$B17,0),IF(AND('Input data (2)'!$C$2=1,$A17&gt;=0),OFFSET('Input data (2)'!N$126,'Input data (2)'!$BL$1-$A17,0),""))))</f>
        <v>653</v>
      </c>
      <c r="AZ31" s="1">
        <f ca="1">IF(AND('Input data (2)'!$C$2=4,$D17&gt;=0),OFFSET('Input data (2)'!P$126,'Input data (2)'!$BL$1-$D17,0),IF(AND('Input data (2)'!$C$2=3,$C17&gt;=0),OFFSET('Input data (2)'!P$126,'Input data (2)'!$BL$1-$C17,0),IF(AND('Input data (2)'!$C$2=2,$B17&gt;=0),OFFSET('Input data (2)'!P$126,'Input data (2)'!$BL$1-$B17,0),IF(AND('Input data (2)'!$C$2=1,$A17&gt;=0),OFFSET('Input data (2)'!P$126,'Input data (2)'!$BL$1-$A17,0),""))))</f>
        <v>147</v>
      </c>
      <c r="BB31" s="1">
        <f ca="1">IF(AND('Input data (2)'!$C$2=4,$D17&gt;=0),OFFSET('Input data (2)'!BB$126,'Input data (2)'!$BL$1-$D17,0),IF(AND('Input data (2)'!$C$2=3,$C17&gt;=0),OFFSET('Input data (2)'!BB$126,'Input data (2)'!$BL$1-$C17,0),IF(AND('Input data (2)'!$C$2=2,$B17&gt;=0),OFFSET('Input data (2)'!BB$126,'Input data (2)'!$BL$1-$B17,0),IF(AND('Input data (2)'!$C$2=1,$A17&gt;=0),OFFSET('Input data (2)'!BB$126,'Input data (2)'!$BL$1-$A17,0),""))))</f>
        <v>3500</v>
      </c>
      <c r="BC31" s="1">
        <f ca="1">IF(AND('Input data (2)'!$C$2=4,$D17&gt;=0),OFFSET('Input data (2)'!AY$126,'Input data (2)'!$BL$1-$D17,0),IF(AND('Input data (2)'!$C$2=3,$C17&gt;=0),OFFSET('Input data (2)'!AY$126,'Input data (2)'!$BL$1-$C17,0),IF(AND('Input data (2)'!$C$2=2,$B17&gt;=0),OFFSET('Input data (2)'!AY$126,'Input data (2)'!$BL$1-$B17,0),IF(AND('Input data (2)'!$C$2=1,$A17&gt;=0),OFFSET('Input data (2)'!AY$126,'Input data (2)'!$BL$1-$A17,0),""))))</f>
        <v>1263</v>
      </c>
      <c r="BD31" s="1" t="str">
        <f ca="1">IF(AND('Input data (2)'!$C$2=4,$D17&gt;=0),OFFSET('Input data (2)'!AZ$126,'Input data (2)'!$BL$1-$D17,0),IF(AND('Input data (2)'!$C$2=3,$C17&gt;=0),OFFSET('Input data (2)'!AZ$126,'Input data (2)'!$BL$1-$C17,0),IF(AND('Input data (2)'!$C$2=2,$B17&gt;=0),OFFSET('Input data (2)'!AZ$126,'Input data (2)'!$BL$1-$B17,0),IF(AND('Input data (2)'!$C$2=1,$A17&gt;=0),OFFSET('Input data (2)'!AZ$126,'Input data (2)'!$BL$1-$A17,0),""))))</f>
        <v>:</v>
      </c>
      <c r="BE31" s="1">
        <f ca="1">IF(AND('Input data (2)'!$C$2=4,$D17&gt;=0),OFFSET('Input data (2)'!BA$126,'Input data (2)'!$BL$1-$D17,0),IF(AND('Input data (2)'!$C$2=3,$C17&gt;=0),OFFSET('Input data (2)'!BA$126,'Input data (2)'!$BL$1-$C17,0),IF(AND('Input data (2)'!$C$2=2,$B17&gt;=0),OFFSET('Input data (2)'!BA$126,'Input data (2)'!$BL$1-$B17,0),IF(AND('Input data (2)'!$C$2=1,$A17&gt;=0),OFFSET('Input data (2)'!BA$126,'Input data (2)'!$BL$1-$A17,0),""))))</f>
        <v>2237</v>
      </c>
      <c r="BF31" s="1">
        <f ca="1">IF(AND('Input data (2)'!$C$2=4,$D17&gt;=0),OFFSET('Input data (2)'!AP$126,'Input data (2)'!$BL$1-$D17,0),IF(AND('Input data (2)'!$C$2=3,$C17&gt;=0),OFFSET('Input data (2)'!AP$126,'Input data (2)'!$BL$1-$C17,0),IF(AND('Input data (2)'!$C$2=2,$B17&gt;=0),OFFSET('Input data (2)'!AP$126,'Input data (2)'!$BL$1-$B17,0),IF(AND('Input data (2)'!$C$2=1,$A17&gt;=0),OFFSET('Input data (2)'!AP$126,'Input data (2)'!$BL$1-$A17,0),""))))</f>
        <v>133</v>
      </c>
      <c r="BG31" s="1">
        <f ca="1">IF(AND('Input data (2)'!$C$2=4,$D17&gt;=0),OFFSET('Input data (2)'!AN$126,'Input data (2)'!$BL$1-$D17,0),IF(AND('Input data (2)'!$C$2=3,$C17&gt;=0),OFFSET('Input data (2)'!AN$126,'Input data (2)'!$BL$1-$C17,0),IF(AND('Input data (2)'!$C$2=2,$B17&gt;=0),OFFSET('Input data (2)'!AN$126,'Input data (2)'!$BL$1-$B17,0),IF(AND('Input data (2)'!$C$2=1,$A17&gt;=0),OFFSET('Input data (2)'!AN$126,'Input data (2)'!$BL$1-$A17,0),""))))</f>
        <v>99</v>
      </c>
      <c r="BH31" s="1">
        <f ca="1">IF(AND('Input data (2)'!$C$2=4,$D17&gt;=0),OFFSET('Input data (2)'!AO$126,'Input data (2)'!$BL$1-$D17,0),IF(AND('Input data (2)'!$C$2=3,$C17&gt;=0),OFFSET('Input data (2)'!AO$126,'Input data (2)'!$BL$1-$C17,0),IF(AND('Input data (2)'!$C$2=2,$B17&gt;=0),OFFSET('Input data (2)'!AO$126,'Input data (2)'!$BL$1-$B17,0),IF(AND('Input data (2)'!$C$2=1,$A17&gt;=0),OFFSET('Input data (2)'!AO$126,'Input data (2)'!$BL$1-$A17,0),""))))</f>
        <v>34</v>
      </c>
      <c r="BJ31" s="1">
        <f ca="1">IF(AND('Input data (2)'!$C$2=4,$D17&gt;=0),OFFSET('Input data (2)'!AU$126,'Input data (2)'!$BL$1-$D17,0),IF(AND('Input data (2)'!$C$2=3,$C17&gt;=0),OFFSET('Input data (2)'!AU$126,'Input data (2)'!$BL$1-$C17,0),IF(AND('Input data (2)'!$C$2=2,$B17&gt;=0),OFFSET('Input data (2)'!AU$126,'Input data (2)'!$BL$1-$B17,0),IF(AND('Input data (2)'!$C$2=1,$A17&gt;=0),OFFSET('Input data (2)'!AU$126,'Input data (2)'!$BL$1-$A17,0),""))))</f>
        <v>16</v>
      </c>
      <c r="BK31" s="1">
        <f ca="1">IF(AND('Input data (2)'!$C$2=4,$D17&gt;=0),OFFSET('Input data (2)'!AV$126,'Input data (2)'!$BL$1-$D17,0),IF(AND('Input data (2)'!$C$2=3,$C17&gt;=0),OFFSET('Input data (2)'!AV$126,'Input data (2)'!$BL$1-$C17,0),IF(AND('Input data (2)'!$C$2=2,$B17&gt;=0),OFFSET('Input data (2)'!AV$126,'Input data (2)'!$BL$1-$B17,0),IF(AND('Input data (2)'!$C$2=1,$A17&gt;=0),OFFSET('Input data (2)'!AV$126,'Input data (2)'!$BL$1-$A17,0),""))))</f>
        <v>0</v>
      </c>
      <c r="BL31" s="1">
        <f ca="1">IF(AND('Input data (2)'!$C$2=4,$D17&gt;=0),OFFSET('Input data (2)'!AW$126,'Input data (2)'!$BL$1-$D17,0),IF(AND('Input data (2)'!$C$2=3,$C17&gt;=0),OFFSET('Input data (2)'!AW$126,'Input data (2)'!$BL$1-$C17,0),IF(AND('Input data (2)'!$C$2=2,$B17&gt;=0),OFFSET('Input data (2)'!AW$126,'Input data (2)'!$BL$1-$B17,0),IF(AND('Input data (2)'!$C$2=1,$A17&gt;=0),OFFSET('Input data (2)'!AW$126,'Input data (2)'!$BL$1-$A17,0),""))))</f>
        <v>20</v>
      </c>
      <c r="BM31" s="1">
        <f ca="1">IF(AND('Input data (2)'!$C$2=4,$D17&gt;=0),OFFSET('Input data (2)'!AX$126,'Input data (2)'!$BL$1-$D17,0),IF(AND('Input data (2)'!$C$2=3,$C17&gt;=0),OFFSET('Input data (2)'!AX$126,'Input data (2)'!$BL$1-$C17,0),IF(AND('Input data (2)'!$C$2=2,$B17&gt;=0),OFFSET('Input data (2)'!AX$126,'Input data (2)'!$BL$1-$B17,0),IF(AND('Input data (2)'!$C$2=1,$A17&gt;=0),OFFSET('Input data (2)'!AX$126,'Input data (2)'!$BL$1-$A17,0),""))))</f>
        <v>1</v>
      </c>
      <c r="BO31" s="1">
        <f ca="1">IF(AND('Input data (2)'!$C$2=4,$D17&gt;=0),OFFSET('Input data (2)'!BL$126,'Input data (2)'!$BL$1-$D17,0),IF(AND('Input data (2)'!$C$2=3,$C17&gt;=0),OFFSET('Input data (2)'!BL$126,'Input data (2)'!$BL$1-$C17,0),IF(AND('Input data (2)'!$C$2=2,$B17&gt;=0),OFFSET('Input data (2)'!BL$126,'Input data (2)'!$BL$1-$B17,0),IF(AND('Input data (2)'!$C$2=1,$A17&gt;=0),OFFSET('Input data (2)'!BL$126,'Input data (2)'!$BL$1-$A17,0),""))))</f>
        <v>494</v>
      </c>
      <c r="BP31" s="1">
        <f ca="1">IF(AND('Input data (2)'!$C$2=4,$D17&gt;=0),OFFSET('Input data (2)'!BI$126,'Input data (2)'!$BL$1-$D17,0),IF(AND('Input data (2)'!$C$2=3,$C17&gt;=0),OFFSET('Input data (2)'!BI$126,'Input data (2)'!$BL$1-$C17,0),IF(AND('Input data (2)'!$C$2=2,$B17&gt;=0),OFFSET('Input data (2)'!BI$126,'Input data (2)'!$BL$1-$B17,0),IF(AND('Input data (2)'!$C$2=1,$A17&gt;=0),OFFSET('Input data (2)'!BI$126,'Input data (2)'!$BL$1-$A17,0),""))))</f>
        <v>285</v>
      </c>
      <c r="BQ31" s="1" t="str">
        <f ca="1">IF(AND('Input data (2)'!$C$2=4,$D17&gt;=0),OFFSET('Input data (2)'!BK$126,'Input data (2)'!$BL$1-$D17,0),IF(AND('Input data (2)'!$C$2=3,$C17&gt;=0),OFFSET('Input data (2)'!BK$126,'Input data (2)'!$BL$1-$C17,0),IF(AND('Input data (2)'!$C$2=2,$B17&gt;=0),OFFSET('Input data (2)'!BK$126,'Input data (2)'!$BL$1-$B17,0),IF(AND('Input data (2)'!$C$2=1,$A17&gt;=0),OFFSET('Input data (2)'!BK$126,'Input data (2)'!$BL$1-$A17,0),""))))</f>
        <v>..</v>
      </c>
      <c r="BR31" s="1">
        <f ca="1">IF(AND('Input data (2)'!$C$2=4,$D17&gt;=0),OFFSET('Input data (2)'!BJ$126,'Input data (2)'!$BL$1-$D17,0),IF(AND('Input data (2)'!$C$2=3,$C17&gt;=0),OFFSET('Input data (2)'!BJ$126,'Input data (2)'!$BL$1-$C17,0),IF(AND('Input data (2)'!$C$2=2,$B17&gt;=0),OFFSET('Input data (2)'!BJ$126,'Input data (2)'!$BL$1-$B17,0),IF(AND('Input data (2)'!$C$2=1,$A17&gt;=0),OFFSET('Input data (2)'!BJ$126,'Input data (2)'!$BL$1-$A17,0),""))))</f>
        <v>209</v>
      </c>
      <c r="BS31" s="1">
        <f ca="1">IF(AND('Input data (2)'!$C$2=4,$D17&gt;=0),OFFSET('Input data (2)'!BF$126,'Input data (2)'!$BL$1-$D17,0),IF(AND('Input data (2)'!$C$2=3,$C17&gt;=0),OFFSET('Input data (2)'!BF$126,'Input data (2)'!$BL$1-$C17,0),IF(AND('Input data (2)'!$C$2=2,$B17&gt;=0),OFFSET('Input data (2)'!BF$126,'Input data (2)'!$BL$1-$B17,0),IF(AND('Input data (2)'!$C$2=1,$A17&gt;=0),OFFSET('Input data (2)'!BF$126,'Input data (2)'!$BL$1-$A17,0),""))))</f>
        <v>41</v>
      </c>
      <c r="BT31" s="1">
        <f ca="1">IF(AND('Input data (2)'!$C$2=4,$D17&gt;=0),OFFSET('Input data (2)'!BD$126,'Input data (2)'!$BL$1-$D17,0),IF(AND('Input data (2)'!$C$2=3,$C17&gt;=0),OFFSET('Input data (2)'!BD$126,'Input data (2)'!$BL$1-$C17,0),IF(AND('Input data (2)'!$C$2=2,$B17&gt;=0),OFFSET('Input data (2)'!BD$126,'Input data (2)'!$BL$1-$B17,0),IF(AND('Input data (2)'!$C$2=1,$A17&gt;=0),OFFSET('Input data (2)'!BD$126,'Input data (2)'!$BL$1-$A17,0),""))))</f>
        <v>24</v>
      </c>
      <c r="BU31" s="1">
        <f ca="1">IF(AND('Input data (2)'!$C$2=4,$D17&gt;=0),OFFSET('Input data (2)'!BE$126,'Input data (2)'!$BL$1-$D17,0),IF(AND('Input data (2)'!$C$2=3,$C17&gt;=0),OFFSET('Input data (2)'!BE$126,'Input data (2)'!$BL$1-$C17,0),IF(AND('Input data (2)'!$C$2=2,$B17&gt;=0),OFFSET('Input data (2)'!BE$126,'Input data (2)'!$BL$1-$B17,0),IF(AND('Input data (2)'!$C$2=1,$A17&gt;=0),OFFSET('Input data (2)'!BE$126,'Input data (2)'!$BL$1-$A17,0),""))))</f>
        <v>17</v>
      </c>
      <c r="BW31" s="7">
        <f ca="1">IF(AND('Input data (2)'!$C$2=4,$D17&gt;=0),OFFSET('Input data (2)'!J$126,'Input data (2)'!$BL$1-$D17,0),IF(AND('Input data (2)'!$C$2=3,$C17&gt;=0),OFFSET('Input data (2)'!J$126,'Input data (2)'!$BL$1-$C17,0),IF(AND('Input data (2)'!$C$2=2,$B17&gt;=0),OFFSET('Input data (2)'!J$126,'Input data (2)'!$BL$1-$B17,0),IF(AND('Input data (2)'!$C$2=1,$A17&gt;=0),OFFSET('Input data (2)'!J$126,'Input data (2)'!$BL$1-$A17,0),""))))</f>
        <v>0.71025416694802646</v>
      </c>
      <c r="BX31" s="7">
        <f ca="1">IF(AND('Input data (2)'!$C$2=4,$D17&gt;=0),OFFSET('Input data (2)'!K$126,'Input data (2)'!$BL$1-$D17,0),IF(AND('Input data (2)'!$C$2=3,$C17&gt;=0),OFFSET('Input data (2)'!K$126,'Input data (2)'!$BL$1-$C17,0),IF(AND('Input data (2)'!$C$2=2,$B17&gt;=0),OFFSET('Input data (2)'!K$126,'Input data (2)'!$BL$1-$B17,0),IF(AND('Input data (2)'!$C$2=1,$A17&gt;=0),OFFSET('Input data (2)'!K$126,'Input data (2)'!$BL$1-$A17,0),""))))</f>
        <v>0.65101865189546038</v>
      </c>
      <c r="BY31" s="7">
        <f ca="1">IF(AND('Input data (2)'!$C$2=4,$D17&gt;=0),OFFSET('Input data (2)'!AS$126,'Input data (2)'!$BL$1-$D17,0),IF(AND('Input data (2)'!$C$2=3,$C17&gt;=0),OFFSET('Input data (2)'!AS$126,'Input data (2)'!$BL$1-$C17,0),IF(AND('Input data (2)'!$C$2=2,$B17&gt;=0),OFFSET('Input data (2)'!AS$126,'Input data (2)'!$BL$1-$B17,0),IF(AND('Input data (2)'!$C$2=1,$A17&gt;=0),OFFSET('Input data (2)'!AS$126,'Input data (2)'!$BL$1-$A17,0),""))))</f>
        <v>0.47687579002198027</v>
      </c>
      <c r="BZ31" s="7">
        <f ca="1">IF(AND('Input data (2)'!$C$2=4,$D17&gt;=0),OFFSET('Input data (2)'!AT$126,'Input data (2)'!$BL$1-$D17,0),IF(AND('Input data (2)'!$C$2=3,$C17&gt;=0),OFFSET('Input data (2)'!AT$126,'Input data (2)'!$BL$1-$C17,0),IF(AND('Input data (2)'!$C$2=2,$B17&gt;=0),OFFSET('Input data (2)'!AT$126,'Input data (2)'!$BL$1-$B17,0),IF(AND('Input data (2)'!$C$2=1,$A17&gt;=0),OFFSET('Input data (2)'!AT$126,'Input data (2)'!$BL$1-$A17,0),""))))</f>
        <v>0.43492802391694591</v>
      </c>
      <c r="CB31" s="122"/>
      <c r="CC31" s="122"/>
      <c r="CD31" s="122"/>
      <c r="CE31" s="122"/>
      <c r="CG31" s="1">
        <v>13</v>
      </c>
      <c r="CI31" s="1">
        <f t="shared" ca="1" si="24"/>
        <v>2010</v>
      </c>
      <c r="CJ31" s="1" t="str">
        <f t="shared" si="25"/>
        <v>Q1</v>
      </c>
      <c r="CK31" s="1" t="str">
        <f t="shared" ca="1" si="12"/>
        <v>10</v>
      </c>
      <c r="CL31" s="1" t="str">
        <f t="shared" ca="1" si="13"/>
        <v>Q1 10</v>
      </c>
      <c r="CM31" s="1">
        <f ca="1">OFFSET('Input data (2)'!AJ$126,'Input data (2)'!$BL$1-'Output data - DO NOT TOUCH (2)'!$CG31,0)/1000</f>
        <v>17.058</v>
      </c>
      <c r="CN31" s="1">
        <f ca="1">OFFSET('Input data (2)'!AK$126,'Input data (2)'!$BL$1-'Output data - DO NOT TOUCH (2)'!$CG31,0)/1000</f>
        <v>12.754</v>
      </c>
      <c r="CO31" s="1" t="e">
        <f ca="1">OFFSET('Input data (2)'!AL$126,'Input data (2)'!$BL$1-'Output data - DO NOT TOUCH (2)'!$CG31,0)/1000</f>
        <v>#VALUE!</v>
      </c>
      <c r="CP31" s="1"/>
      <c r="CQ31" s="1">
        <f ca="1">OFFSET('Input data (2)'!AG$126,'Input data (2)'!$BL$1-'Output data - DO NOT TOUCH (2)'!$CG31,0)/1000</f>
        <v>1.3009999999999999</v>
      </c>
      <c r="CR31" s="1">
        <f ca="1">OFFSET('Input data (2)'!AH$126,'Input data (2)'!$BL$1-'Output data - DO NOT TOUCH (2)'!$CG31,0)/1000</f>
        <v>2.7130000000000001</v>
      </c>
      <c r="CS31" s="1">
        <f ca="1">OFFSET('Input data (2)'!AI$126,'Input data (2)'!$BL$1-'Output data - DO NOT TOUCH (2)'!$CG31,0)/1000</f>
        <v>4.0140000000000002</v>
      </c>
      <c r="CT31" s="1"/>
      <c r="CU31" s="1">
        <f ca="1">OFFSET('Input data (2)'!L$126,'Input data (2)'!$BL$1-'Output data - DO NOT TOUCH (2)'!$CG31,0)</f>
        <v>356</v>
      </c>
      <c r="CV31" s="1">
        <f ca="1">OFFSET('Input data (2)'!M$126,'Input data (2)'!$BL$1-'Output data - DO NOT TOUCH (2)'!$CG31,0)</f>
        <v>4</v>
      </c>
      <c r="CW31" s="67">
        <f ca="1">OFFSET('Input data (2)'!N$126,'Input data (2)'!$BL$1-'Output data - DO NOT TOUCH (2)'!$CG31,0)</f>
        <v>779</v>
      </c>
      <c r="CX31" s="1">
        <f ca="1">OFFSET('Input data (2)'!P$126,'Input data (2)'!$BL$1-'Output data - DO NOT TOUCH (2)'!$CG31,0)</f>
        <v>204</v>
      </c>
      <c r="CY31" s="1"/>
      <c r="CZ31" s="1">
        <f ca="1">OFFSET('Input data (2)'!AY$126,'Input data (2)'!$BL$1-'Output data - DO NOT TOUCH (2)'!$CG31,0)/1000</f>
        <v>3.1669999999999998</v>
      </c>
      <c r="DA31" s="1">
        <f ca="1">OFFSET('Input data (2)'!BA$126,'Input data (2)'!$BL$1-'Output data - DO NOT TOUCH (2)'!$CG31,0)/1000</f>
        <v>2.0329999999999999</v>
      </c>
      <c r="DB31" s="1">
        <f ca="1">OFFSET('Input data (2)'!BB$126,'Input data (2)'!$BL$1-'Output data - DO NOT TOUCH (2)'!$CG31,0)/1000</f>
        <v>5.2</v>
      </c>
      <c r="DD31" s="1">
        <f ca="1">OFFSET('Input data (2)'!AN$126,'Input data (2)'!$BL$1-'Output data - DO NOT TOUCH (2)'!$CG31,0)</f>
        <v>202</v>
      </c>
      <c r="DE31" s="1">
        <f ca="1">OFFSET('Input data (2)'!AO$126,'Input data (2)'!$BL$1-'Output data - DO NOT TOUCH (2)'!$CG31,0)</f>
        <v>73</v>
      </c>
      <c r="DF31" s="1">
        <f ca="1">OFFSET('Input data (2)'!AP$126,'Input data (2)'!$BL$1-'Output data - DO NOT TOUCH (2)'!$CG31,0)</f>
        <v>275</v>
      </c>
      <c r="DG31" s="1"/>
      <c r="DH31" s="1">
        <f ca="1">OFFSET('Input data (2)'!AU$126,'Input data (2)'!$BL$1-'Output data - DO NOT TOUCH (2)'!$CG31,0)</f>
        <v>6</v>
      </c>
      <c r="DI31" s="1">
        <f ca="1">OFFSET('Input data (2)'!AV$126,'Input data (2)'!$BL$1-'Output data - DO NOT TOUCH (2)'!$CG31,0)</f>
        <v>0</v>
      </c>
      <c r="DJ31" s="1">
        <f ca="1">OFFSET('Input data (2)'!AW$126,'Input data (2)'!$BL$1-'Output data - DO NOT TOUCH (2)'!$CG31,0)</f>
        <v>92</v>
      </c>
      <c r="DK31" s="1">
        <f ca="1">OFFSET('Input data (2)'!AX$126,'Input data (2)'!$BL$1-'Output data - DO NOT TOUCH (2)'!$CG31,0)</f>
        <v>2</v>
      </c>
      <c r="DM31" s="1">
        <f ca="1">OFFSET('Input data (2)'!BI$126,'Input data (2)'!$BL$1-'Output data - DO NOT TOUCH (2)'!$CG31,0)</f>
        <v>316</v>
      </c>
      <c r="DN31" s="1">
        <f ca="1">OFFSET('Input data (2)'!BJ$126,'Input data (2)'!$BL$1-'Output data - DO NOT TOUCH (2)'!$CG31,0)</f>
        <v>238</v>
      </c>
      <c r="DO31" s="1">
        <f ca="1">OFFSET('Input data (2)'!BL$126,'Input data (2)'!$BL$1-'Output data - DO NOT TOUCH (2)'!$CG31,0)</f>
        <v>554</v>
      </c>
      <c r="DQ31" s="1">
        <f ca="1">OFFSET('Input data (2)'!BD$126,'Input data (2)'!$BL$1-'Output data - DO NOT TOUCH (2)'!$CG31,0)</f>
        <v>49</v>
      </c>
      <c r="DR31" s="1">
        <f ca="1">OFFSET('Input data (2)'!BE$126,'Input data (2)'!$BL$1-'Output data - DO NOT TOUCH (2)'!$CG31,0)</f>
        <v>53</v>
      </c>
      <c r="DS31" s="1">
        <f ca="1">OFFSET('Input data (2)'!BF$126,'Input data (2)'!$BL$1-'Output data - DO NOT TOUCH (2)'!$CG31,0)</f>
        <v>102</v>
      </c>
      <c r="DU31" s="1">
        <f ca="1">OFFSET('Input data (2)'!B$126,'Input data (2)'!$BL$1-'Output data - DO NOT TOUCH (2)'!$CG31-1,0)</f>
        <v>2009</v>
      </c>
      <c r="DV31" s="1" t="str">
        <f ca="1">OFFSET('Input data (2)'!C$126,'Input data (2)'!$BL$1-'Output data - DO NOT TOUCH (2)'!$CG31-1,0)</f>
        <v>Q4</v>
      </c>
      <c r="DW31" s="1" t="str">
        <f t="shared" ca="1" si="14"/>
        <v>09</v>
      </c>
      <c r="DX31" s="1" t="str">
        <f t="shared" ca="1" si="15"/>
        <v>Q4 09</v>
      </c>
      <c r="DY31" s="1">
        <f ca="1">OFFSET('Input data (2)'!W$126,'Input data (2)'!$BL$1-'Output data - DO NOT TOUCH (2)'!$CG31-1,0)/1000</f>
        <v>2.2050000000000001</v>
      </c>
      <c r="DZ31" s="1">
        <f ca="1">OFFSET('Input data (2)'!Y$126,'Input data (2)'!$BL$1-'Output data - DO NOT TOUCH (2)'!$CG31-1,0)/1000</f>
        <v>14.802</v>
      </c>
      <c r="EA31" s="1">
        <f ca="1">OFFSET('Input data (2)'!Q$126,'Input data (2)'!$BL$1-'Output data - DO NOT TOUCH (2)'!$CG31-1,0)/1000</f>
        <v>17.007000000000001</v>
      </c>
    </row>
    <row r="32" spans="1:140" x14ac:dyDescent="0.15">
      <c r="A32" s="1">
        <v>12</v>
      </c>
      <c r="B32" s="1">
        <v>13</v>
      </c>
      <c r="C32" s="1">
        <v>14</v>
      </c>
      <c r="D32" s="1">
        <v>11</v>
      </c>
      <c r="E32" s="1" t="str">
        <f>F32&amp;G32</f>
        <v>2006Q3</v>
      </c>
      <c r="F32" s="1">
        <f>F27+1</f>
        <v>2006</v>
      </c>
      <c r="G32" s="1" t="s">
        <v>3</v>
      </c>
      <c r="H32" s="1">
        <f>VLOOKUP($E32,'Input data (2)'!$A:$BL,'Output data - DO NOT TOUCH (2)'!H$71,FALSE)</f>
        <v>3172</v>
      </c>
      <c r="I32" s="1">
        <f>VLOOKUP($E32,'Input data (2)'!$A:$BL,'Output data - DO NOT TOUCH (2)'!I$71,FALSE)</f>
        <v>1286</v>
      </c>
      <c r="J32" s="1">
        <f>VLOOKUP($E32,'Input data (2)'!$A:$BL,'Output data - DO NOT TOUCH (2)'!J$71,FALSE)</f>
        <v>1886</v>
      </c>
      <c r="K32" s="1">
        <f>VLOOKUP($E32,'Input data (2)'!$A:$BL,'Output data - DO NOT TOUCH (2)'!K$71,FALSE)</f>
        <v>3272</v>
      </c>
      <c r="L32" s="1">
        <f>VLOOKUP($E32,'Input data (2)'!$A:$BL,'Output data - DO NOT TOUCH (2)'!L$71,FALSE)</f>
        <v>1353</v>
      </c>
      <c r="M32" s="1">
        <f>VLOOKUP($E32,'Input data (2)'!$A:$BL,'Output data - DO NOT TOUCH (2)'!M$71,FALSE)</f>
        <v>1919</v>
      </c>
      <c r="O32" s="119">
        <f ca="1">IF(AND('Input data (2)'!$C$2=4,$D18&gt;=0),OFFSET('Input data (2)'!O$126,'Input data (2)'!$BL$1-$D18,0),IF(AND('Input data (2)'!$C$2=3,$C18&gt;=0),OFFSET('Input data (2)'!O$126,'Input data (2)'!$BL$1-$C18,0),IF(AND('Input data (2)'!$C$2=2,$B18&gt;=0),OFFSET('Input data (2)'!O$126,'Input data (2)'!$BL$1-$B18,0),IF(AND('Input data (2)'!$C$2=1,$A18&gt;=0),OFFSET('Input data (2)'!O$126,'Input data (2)'!$BL$1-$A18,0),""))))</f>
        <v>244</v>
      </c>
      <c r="Q32" s="1">
        <f ca="1">IF(AND('Input data (2)'!$C$2=4,$D18&gt;=0),OFFSET('Input data (2)'!AC$126,'Input data (2)'!$BL$1-$D18,0),IF(AND('Input data (2)'!$C$2=3,$C18&gt;=0),OFFSET('Input data (2)'!AC$126,'Input data (2)'!$BL$1-$C18,0),IF(AND('Input data (2)'!$C$2=2,$B18&gt;=0),OFFSET('Input data (2)'!AC$126,'Input data (2)'!$BL$1-$B18,0),IF(AND('Input data (2)'!$C$2=1,$A18&gt;=0),OFFSET('Input data (2)'!AC$126,'Input data (2)'!$BL$1-$A18,0),""))))</f>
        <v>28083</v>
      </c>
      <c r="R32" s="1">
        <f ca="1">IF(AND('Input data (2)'!$C$2=4,$D18&gt;=0),OFFSET('Input data (2)'!Q$126,'Input data (2)'!$BL$1-$D18,0),IF(AND('Input data (2)'!$C$2=3,$C18&gt;=0),OFFSET('Input data (2)'!Q$126,'Input data (2)'!$BL$1-$C18,0),IF(AND('Input data (2)'!$C$2=2,$B18&gt;=0),OFFSET('Input data (2)'!Q$126,'Input data (2)'!$BL$1-$B18,0),IF(AND('Input data (2)'!$C$2=1,$A18&gt;=0),OFFSET('Input data (2)'!Q$126,'Input data (2)'!$BL$1-$A18,0),""))))</f>
        <v>15418</v>
      </c>
      <c r="S32" s="1" t="str">
        <f ca="1">IF(AND('Input data (2)'!$C$2=4,$D18&gt;=0),OFFSET('Input data (2)'!R$126,'Input data (2)'!$BL$1-$D18,0),IF(AND('Input data (2)'!$C$2=3,$C18&gt;=0),OFFSET('Input data (2)'!R$126,'Input data (2)'!$BL$1-$C18,0),IF(AND('Input data (2)'!$C$2=2,$B18&gt;=0),OFFSET('Input data (2)'!R$126,'Input data (2)'!$BL$1-$B18,0),IF(AND('Input data (2)'!$C$2=1,$A18&gt;=0),OFFSET('Input data (2)'!R$126,'Input data (2)'!$BL$1-$A18,0),""))))</f>
        <v>:</v>
      </c>
      <c r="T32" s="1">
        <f ca="1">IF(AND('Input data (2)'!$C$2=4,$D18&gt;=0),OFFSET('Input data (2)'!AA$126,'Input data (2)'!$BL$1-$D18,0),IF(AND('Input data (2)'!$C$2=3,$C18&gt;=0),OFFSET('Input data (2)'!AA$126,'Input data (2)'!$BL$1-$C18,0),IF(AND('Input data (2)'!$C$2=2,$B18&gt;=0),OFFSET('Input data (2)'!AA$126,'Input data (2)'!$BL$1-$B18,0),IF(AND('Input data (2)'!$C$2=1,$A18&gt;=0),OFFSET('Input data (2)'!AA$126,'Input data (2)'!$BL$1-$A18,0),""))))</f>
        <v>12665</v>
      </c>
      <c r="U32" s="1">
        <f ca="1">IF(AND('Input data (2)'!$C$2=4,$D18&gt;=0),OFFSET('Input data (2)'!AL$126,'Input data (2)'!$BL$1-$D18,0),IF(AND('Input data (2)'!$C$2=3,$C18&gt;=0),OFFSET('Input data (2)'!AL$126,'Input data (2)'!$BL$1-$C18,0),IF(AND('Input data (2)'!$C$2=2,$B18&gt;=0),OFFSET('Input data (2)'!AL$126,'Input data (2)'!$BL$1-$B18,0),IF(AND('Input data (2)'!$C$2=1,$A18&gt;=0),OFFSET('Input data (2)'!AL$126,'Input data (2)'!$BL$1-$A18,0),""))))</f>
        <v>27794</v>
      </c>
      <c r="V32" s="1">
        <f ca="1">IF(AND('Input data (2)'!$C$2=4,$D18&gt;=0),OFFSET('Input data (2)'!AJ$126,'Input data (2)'!$BL$1-$D18,0),IF(AND('Input data (2)'!$C$2=3,$C18&gt;=0),OFFSET('Input data (2)'!AJ$126,'Input data (2)'!$BL$1-$C18,0),IF(AND('Input data (2)'!$C$2=2,$B18&gt;=0),OFFSET('Input data (2)'!AJ$126,'Input data (2)'!$BL$1-$B18,0),IF(AND('Input data (2)'!$C$2=1,$A18&gt;=0),OFFSET('Input data (2)'!AJ$126,'Input data (2)'!$BL$1-$A18,0),""))))</f>
        <v>15657</v>
      </c>
      <c r="W32" s="1">
        <f ca="1">IF(AND('Input data (2)'!$C$2=4,$D18&gt;=0),OFFSET('Input data (2)'!AK$126,'Input data (2)'!$BL$1-$D18,0),IF(AND('Input data (2)'!$C$2=3,$C18&gt;=0),OFFSET('Input data (2)'!AK$126,'Input data (2)'!$BL$1-$C18,0),IF(AND('Input data (2)'!$C$2=2,$B18&gt;=0),OFFSET('Input data (2)'!AK$126,'Input data (2)'!$BL$1-$B18,0),IF(AND('Input data (2)'!$C$2=1,$A18&gt;=0),OFFSET('Input data (2)'!AK$126,'Input data (2)'!$BL$1-$A18,0),""))))</f>
        <v>12137</v>
      </c>
      <c r="Y32" s="1">
        <f ca="1">IF(AND('Input data (2)'!$C$2=4,$D18&gt;=0),OFFSET('Input data (2)'!Q$126,'Input data (2)'!$BL$1-$D18,0),IF(AND('Input data (2)'!$C$2=3,$C18&gt;=0),OFFSET('Input data (2)'!Q$126,'Input data (2)'!$BL$1-$C18,0),IF(AND('Input data (2)'!$C$2=2,$B18&gt;=0),OFFSET('Input data (2)'!Q$126,'Input data (2)'!$BL$1-$B18,0),IF(AND('Input data (2)'!$C$2=1,$A18&gt;=0),OFFSET('Input data (2)'!Q$126,'Input data (2)'!$BL$1-$A18,0),""))))</f>
        <v>15418</v>
      </c>
      <c r="Z32" s="1">
        <f ca="1">IF(AND('Input data (2)'!$C$2=4,$D18&gt;=0),OFFSET('Input data (2)'!S$126,'Input data (2)'!$BL$1-$D18,0),IF(AND('Input data (2)'!$C$2=3,$C18&gt;=0),OFFSET('Input data (2)'!S$126,'Input data (2)'!$BL$1-$C18,0),IF(AND('Input data (2)'!$C$2=2,$B18&gt;=0),OFFSET('Input data (2)'!S$126,'Input data (2)'!$BL$1-$B18,0),IF(AND('Input data (2)'!$C$2=1,$A18&gt;=0),OFFSET('Input data (2)'!S$126,'Input data (2)'!$BL$1-$A18,0),""))))</f>
        <v>13036</v>
      </c>
      <c r="AA32" s="1">
        <f ca="1">IF(AND('Input data (2)'!$C$2=4,$D18&gt;=0),OFFSET('Input data (2)'!T$126,'Input data (2)'!$BL$1-$D18,0),IF(AND('Input data (2)'!$C$2=3,$C18&gt;=0),OFFSET('Input data (2)'!T$126,'Input data (2)'!$BL$1-$C18,0),IF(AND('Input data (2)'!$C$2=2,$B18&gt;=0),OFFSET('Input data (2)'!T$126,'Input data (2)'!$BL$1-$B18,0),IF(AND('Input data (2)'!$C$2=1,$A18&gt;=0),OFFSET('Input data (2)'!T$126,'Input data (2)'!$BL$1-$A18,0),""))))</f>
        <v>84.550525359968859</v>
      </c>
      <c r="AB32" s="1">
        <f ca="1">IF(AND('Input data (2)'!$C$2=4,$D18&gt;=0),OFFSET('Input data (2)'!U$126,'Input data (2)'!$BL$1-$D18,0),IF(AND('Input data (2)'!$C$2=3,$C18&gt;=0),OFFSET('Input data (2)'!U$126,'Input data (2)'!$BL$1-$C18,0),IF(AND('Input data (2)'!$C$2=2,$B18&gt;=0),OFFSET('Input data (2)'!U$126,'Input data (2)'!$BL$1-$B18,0),IF(AND('Input data (2)'!$C$2=1,$A18&gt;=0),OFFSET('Input data (2)'!U$126,'Input data (2)'!$BL$1-$A18,0),""))))</f>
        <v>2382</v>
      </c>
      <c r="AC32" s="1">
        <f ca="1">IF(AND('Input data (2)'!$C$2=4,$D18&gt;=0),OFFSET('Input data (2)'!V$126,'Input data (2)'!$BL$1-$D18,0),IF(AND('Input data (2)'!$C$2=3,$C18&gt;=0),OFFSET('Input data (2)'!V$126,'Input data (2)'!$BL$1-$C18,0),IF(AND('Input data (2)'!$C$2=2,$B18&gt;=0),OFFSET('Input data (2)'!V$126,'Input data (2)'!$BL$1-$B18,0),IF(AND('Input data (2)'!$C$2=1,$A18&gt;=0),OFFSET('Input data (2)'!V$126,'Input data (2)'!$BL$1-$A18,0),""))))</f>
        <v>15.449474640031132</v>
      </c>
      <c r="AD32" s="1">
        <f ca="1">IF(AND('Input data (2)'!$C$2=4,$D18&gt;=0),OFFSET('Input data (2)'!Q$126,'Input data (2)'!$BL$1-$D18,0),IF(AND('Input data (2)'!$C$2=3,$C18&gt;=0),OFFSET('Input data (2)'!Q$126,'Input data (2)'!$BL$1-$C18,0),IF(AND('Input data (2)'!$C$2=2,$B18&gt;=0),OFFSET('Input data (2)'!Q$126,'Input data (2)'!$BL$1-$B18,0),IF(AND('Input data (2)'!$C$2=1,$A18&gt;=0),OFFSET('Input data (2)'!Q$126,'Input data (2)'!$BL$1-$A18,0),""))))</f>
        <v>15418</v>
      </c>
      <c r="AE32" s="1">
        <f ca="1">IF(AND('Input data (2)'!$C$2=4,$D18&gt;=0),OFFSET('Input data (2)'!W$126,'Input data (2)'!$BL$1-$D18,0),IF(AND('Input data (2)'!$C$2=3,$C18&gt;=0),OFFSET('Input data (2)'!W$126,'Input data (2)'!$BL$1-$C18,0),IF(AND('Input data (2)'!$C$2=2,$B18&gt;=0),OFFSET('Input data (2)'!W$126,'Input data (2)'!$BL$1-$B18,0),IF(AND('Input data (2)'!$C$2=1,$A18&gt;=0),OFFSET('Input data (2)'!W$126,'Input data (2)'!$BL$1-$A18,0),""))))</f>
        <v>2990</v>
      </c>
      <c r="AF32" s="1">
        <f ca="1">IF(AND('Input data (2)'!$C$2=4,$D18&gt;=0),OFFSET('Input data (2)'!X$126,'Input data (2)'!$BL$1-$D18,0),IF(AND('Input data (2)'!$C$2=3,$C18&gt;=0),OFFSET('Input data (2)'!X$126,'Input data (2)'!$BL$1-$C18,0),IF(AND('Input data (2)'!$C$2=2,$B18&gt;=0),OFFSET('Input data (2)'!X$126,'Input data (2)'!$BL$1-$B18,0),IF(AND('Input data (2)'!$C$2=1,$A18&gt;=0),OFFSET('Input data (2)'!X$126,'Input data (2)'!$BL$1-$A18,0),""))))</f>
        <v>19.392917369308602</v>
      </c>
      <c r="AG32" s="1">
        <f ca="1">IF(AND('Input data (2)'!$C$2=4,$D18&gt;=0),OFFSET('Input data (2)'!Y$126,'Input data (2)'!$BL$1-$D18,0),IF(AND('Input data (2)'!$C$2=3,$C18&gt;=0),OFFSET('Input data (2)'!Y$126,'Input data (2)'!$BL$1-$C18,0),IF(AND('Input data (2)'!$C$2=2,$B18&gt;=0),OFFSET('Input data (2)'!Y$126,'Input data (2)'!$BL$1-$B18,0),IF(AND('Input data (2)'!$C$2=1,$A18&gt;=0),OFFSET('Input data (2)'!Y$126,'Input data (2)'!$BL$1-$A18,0),""))))</f>
        <v>12428</v>
      </c>
      <c r="AH32" s="1">
        <f ca="1">IF(AND('Input data (2)'!$C$2=4,$D18&gt;=0),OFFSET('Input data (2)'!Z$126,'Input data (2)'!$BL$1-$D18,0),IF(AND('Input data (2)'!$C$2=3,$C18&gt;=0),OFFSET('Input data (2)'!Z$126,'Input data (2)'!$BL$1-$C18,0),IF(AND('Input data (2)'!$C$2=2,$B18&gt;=0),OFFSET('Input data (2)'!Z$126,'Input data (2)'!$BL$1-$B18,0),IF(AND('Input data (2)'!$C$2=1,$A18&gt;=0),OFFSET('Input data (2)'!Z$126,'Input data (2)'!$BL$1-$A18,0),""))))</f>
        <v>80.607082630691394</v>
      </c>
      <c r="AI32" s="3"/>
      <c r="AJ32" s="124">
        <f ca="1">IF(AND('Input data (2)'!$C$2=4,$D18&gt;=0),OFFSET('Input data (2)'!AF$126,'Input data (2)'!$BL$1-$D18,0),IF(AND('Input data (2)'!$C$2=3,$C18&gt;=0),OFFSET('Input data (2)'!AF$126,'Input data (2)'!$BL$1-$C18,0),IF(AND('Input data (2)'!$C$2=2,$B18&gt;=0),OFFSET('Input data (2)'!AF$126,'Input data (2)'!$BL$1-$B18,0),IF(AND('Input data (2)'!$C$2=1,$A18&gt;=0),OFFSET('Input data (2)'!AF$126,'Input data (2)'!$BL$1-$A18,0),""))))</f>
        <v>3798</v>
      </c>
      <c r="AK32" s="124">
        <f ca="1">IF(AND('Input data (2)'!$C$2=4,$D18&gt;=0),OFFSET('Input data (2)'!AD$126,'Input data (2)'!$BL$1-$D18,0),IF(AND('Input data (2)'!$C$2=3,$C18&gt;=0),OFFSET('Input data (2)'!AD$126,'Input data (2)'!$BL$1-$C18,0),IF(AND('Input data (2)'!$C$2=2,$B18&gt;=0),OFFSET('Input data (2)'!AD$126,'Input data (2)'!$BL$1-$B18,0),IF(AND('Input data (2)'!$C$2=1,$A18&gt;=0),OFFSET('Input data (2)'!AD$126,'Input data (2)'!$BL$1-$A18,0),""))))</f>
        <v>20</v>
      </c>
      <c r="AL32" s="124">
        <f ca="1">IF(AND('Input data (2)'!$C$2=4,$D18&gt;=0),OFFSET('Input data (2)'!AE$126,'Input data (2)'!$BL$1-$D18,0),IF(AND('Input data (2)'!$C$2=3,$C18&gt;=0),OFFSET('Input data (2)'!AE$126,'Input data (2)'!$BL$1-$C18,0),IF(AND('Input data (2)'!$C$2=2,$B18&gt;=0),OFFSET('Input data (2)'!AE$126,'Input data (2)'!$BL$1-$B18,0),IF(AND('Input data (2)'!$C$2=1,$A18&gt;=0),OFFSET('Input data (2)'!AE$126,'Input data (2)'!$BL$1-$A18,0),""))))</f>
        <v>3778</v>
      </c>
      <c r="AW32" s="1">
        <f ca="1">IF(AND('Input data (2)'!$C$2=4,$D18&gt;=0),OFFSET('Input data (2)'!L$126,'Input data (2)'!$BL$1-$D18,0),IF(AND('Input data (2)'!$C$2=3,$C18&gt;=0),OFFSET('Input data (2)'!L$126,'Input data (2)'!$BL$1-$C18,0),IF(AND('Input data (2)'!$C$2=2,$B18&gt;=0),OFFSET('Input data (2)'!L$126,'Input data (2)'!$BL$1-$B18,0),IF(AND('Input data (2)'!$C$2=1,$A18&gt;=0),OFFSET('Input data (2)'!L$126,'Input data (2)'!$BL$1-$A18,0),""))))</f>
        <v>93</v>
      </c>
      <c r="AX32" s="1">
        <f ca="1">IF(AND('Input data (2)'!$C$2=4,$D18&gt;=0),OFFSET('Input data (2)'!M$126,'Input data (2)'!$BL$1-$D18,0),IF(AND('Input data (2)'!$C$2=3,$C18&gt;=0),OFFSET('Input data (2)'!M$126,'Input data (2)'!$BL$1-$C18,0),IF(AND('Input data (2)'!$C$2=2,$B18&gt;=0),OFFSET('Input data (2)'!M$126,'Input data (2)'!$BL$1-$B18,0),IF(AND('Input data (2)'!$C$2=1,$A18&gt;=0),OFFSET('Input data (2)'!M$126,'Input data (2)'!$BL$1-$A18,0),""))))</f>
        <v>0</v>
      </c>
      <c r="AY32" s="1">
        <f ca="1">IF(AND('Input data (2)'!$C$2=4,$D18&gt;=0),OFFSET('Input data (2)'!N$126,'Input data (2)'!$BL$1-$D18,0),IF(AND('Input data (2)'!$C$2=3,$C18&gt;=0),OFFSET('Input data (2)'!N$126,'Input data (2)'!$BL$1-$C18,0),IF(AND('Input data (2)'!$C$2=2,$B18&gt;=0),OFFSET('Input data (2)'!N$126,'Input data (2)'!$BL$1-$B18,0),IF(AND('Input data (2)'!$C$2=1,$A18&gt;=0),OFFSET('Input data (2)'!N$126,'Input data (2)'!$BL$1-$A18,0),""))))</f>
        <v>675</v>
      </c>
      <c r="AZ32" s="1">
        <f ca="1">IF(AND('Input data (2)'!$C$2=4,$D18&gt;=0),OFFSET('Input data (2)'!P$126,'Input data (2)'!$BL$1-$D18,0),IF(AND('Input data (2)'!$C$2=3,$C18&gt;=0),OFFSET('Input data (2)'!P$126,'Input data (2)'!$BL$1-$C18,0),IF(AND('Input data (2)'!$C$2=2,$B18&gt;=0),OFFSET('Input data (2)'!P$126,'Input data (2)'!$BL$1-$B18,0),IF(AND('Input data (2)'!$C$2=1,$A18&gt;=0),OFFSET('Input data (2)'!P$126,'Input data (2)'!$BL$1-$A18,0),""))))</f>
        <v>157</v>
      </c>
      <c r="BB32" s="1">
        <f ca="1">IF(AND('Input data (2)'!$C$2=4,$D18&gt;=0),OFFSET('Input data (2)'!BB$126,'Input data (2)'!$BL$1-$D18,0),IF(AND('Input data (2)'!$C$2=3,$C18&gt;=0),OFFSET('Input data (2)'!BB$126,'Input data (2)'!$BL$1-$C18,0),IF(AND('Input data (2)'!$C$2=2,$B18&gt;=0),OFFSET('Input data (2)'!BB$126,'Input data (2)'!$BL$1-$B18,0),IF(AND('Input data (2)'!$C$2=1,$A18&gt;=0),OFFSET('Input data (2)'!BB$126,'Input data (2)'!$BL$1-$A18,0),""))))</f>
        <v>3562</v>
      </c>
      <c r="BC32" s="1">
        <f ca="1">IF(AND('Input data (2)'!$C$2=4,$D18&gt;=0),OFFSET('Input data (2)'!AY$126,'Input data (2)'!$BL$1-$D18,0),IF(AND('Input data (2)'!$C$2=3,$C18&gt;=0),OFFSET('Input data (2)'!AY$126,'Input data (2)'!$BL$1-$C18,0),IF(AND('Input data (2)'!$C$2=2,$B18&gt;=0),OFFSET('Input data (2)'!AY$126,'Input data (2)'!$BL$1-$B18,0),IF(AND('Input data (2)'!$C$2=1,$A18&gt;=0),OFFSET('Input data (2)'!AY$126,'Input data (2)'!$BL$1-$A18,0),""))))</f>
        <v>1489</v>
      </c>
      <c r="BD32" s="1" t="str">
        <f ca="1">IF(AND('Input data (2)'!$C$2=4,$D18&gt;=0),OFFSET('Input data (2)'!AZ$126,'Input data (2)'!$BL$1-$D18,0),IF(AND('Input data (2)'!$C$2=3,$C18&gt;=0),OFFSET('Input data (2)'!AZ$126,'Input data (2)'!$BL$1-$C18,0),IF(AND('Input data (2)'!$C$2=2,$B18&gt;=0),OFFSET('Input data (2)'!AZ$126,'Input data (2)'!$BL$1-$B18,0),IF(AND('Input data (2)'!$C$2=1,$A18&gt;=0),OFFSET('Input data (2)'!AZ$126,'Input data (2)'!$BL$1-$A18,0),""))))</f>
        <v>:</v>
      </c>
      <c r="BE32" s="1">
        <f ca="1">IF(AND('Input data (2)'!$C$2=4,$D18&gt;=0),OFFSET('Input data (2)'!BA$126,'Input data (2)'!$BL$1-$D18,0),IF(AND('Input data (2)'!$C$2=3,$C18&gt;=0),OFFSET('Input data (2)'!BA$126,'Input data (2)'!$BL$1-$C18,0),IF(AND('Input data (2)'!$C$2=2,$B18&gt;=0),OFFSET('Input data (2)'!BA$126,'Input data (2)'!$BL$1-$B18,0),IF(AND('Input data (2)'!$C$2=1,$A18&gt;=0),OFFSET('Input data (2)'!BA$126,'Input data (2)'!$BL$1-$A18,0),""))))</f>
        <v>2073</v>
      </c>
      <c r="BF32" s="1">
        <f ca="1">IF(AND('Input data (2)'!$C$2=4,$D18&gt;=0),OFFSET('Input data (2)'!AP$126,'Input data (2)'!$BL$1-$D18,0),IF(AND('Input data (2)'!$C$2=3,$C18&gt;=0),OFFSET('Input data (2)'!AP$126,'Input data (2)'!$BL$1-$C18,0),IF(AND('Input data (2)'!$C$2=2,$B18&gt;=0),OFFSET('Input data (2)'!AP$126,'Input data (2)'!$BL$1-$B18,0),IF(AND('Input data (2)'!$C$2=1,$A18&gt;=0),OFFSET('Input data (2)'!AP$126,'Input data (2)'!$BL$1-$A18,0),""))))</f>
        <v>156</v>
      </c>
      <c r="BG32" s="1">
        <f ca="1">IF(AND('Input data (2)'!$C$2=4,$D18&gt;=0),OFFSET('Input data (2)'!AN$126,'Input data (2)'!$BL$1-$D18,0),IF(AND('Input data (2)'!$C$2=3,$C18&gt;=0),OFFSET('Input data (2)'!AN$126,'Input data (2)'!$BL$1-$C18,0),IF(AND('Input data (2)'!$C$2=2,$B18&gt;=0),OFFSET('Input data (2)'!AN$126,'Input data (2)'!$BL$1-$B18,0),IF(AND('Input data (2)'!$C$2=1,$A18&gt;=0),OFFSET('Input data (2)'!AN$126,'Input data (2)'!$BL$1-$A18,0),""))))</f>
        <v>132</v>
      </c>
      <c r="BH32" s="1">
        <f ca="1">IF(AND('Input data (2)'!$C$2=4,$D18&gt;=0),OFFSET('Input data (2)'!AO$126,'Input data (2)'!$BL$1-$D18,0),IF(AND('Input data (2)'!$C$2=3,$C18&gt;=0),OFFSET('Input data (2)'!AO$126,'Input data (2)'!$BL$1-$C18,0),IF(AND('Input data (2)'!$C$2=2,$B18&gt;=0),OFFSET('Input data (2)'!AO$126,'Input data (2)'!$BL$1-$B18,0),IF(AND('Input data (2)'!$C$2=1,$A18&gt;=0),OFFSET('Input data (2)'!AO$126,'Input data (2)'!$BL$1-$A18,0),""))))</f>
        <v>24</v>
      </c>
      <c r="BJ32" s="1">
        <f ca="1">IF(AND('Input data (2)'!$C$2=4,$D18&gt;=0),OFFSET('Input data (2)'!AU$126,'Input data (2)'!$BL$1-$D18,0),IF(AND('Input data (2)'!$C$2=3,$C18&gt;=0),OFFSET('Input data (2)'!AU$126,'Input data (2)'!$BL$1-$C18,0),IF(AND('Input data (2)'!$C$2=2,$B18&gt;=0),OFFSET('Input data (2)'!AU$126,'Input data (2)'!$BL$1-$B18,0),IF(AND('Input data (2)'!$C$2=1,$A18&gt;=0),OFFSET('Input data (2)'!AU$126,'Input data (2)'!$BL$1-$A18,0),""))))</f>
        <v>3</v>
      </c>
      <c r="BK32" s="1">
        <f ca="1">IF(AND('Input data (2)'!$C$2=4,$D18&gt;=0),OFFSET('Input data (2)'!AV$126,'Input data (2)'!$BL$1-$D18,0),IF(AND('Input data (2)'!$C$2=3,$C18&gt;=0),OFFSET('Input data (2)'!AV$126,'Input data (2)'!$BL$1-$C18,0),IF(AND('Input data (2)'!$C$2=2,$B18&gt;=0),OFFSET('Input data (2)'!AV$126,'Input data (2)'!$BL$1-$B18,0),IF(AND('Input data (2)'!$C$2=1,$A18&gt;=0),OFFSET('Input data (2)'!AV$126,'Input data (2)'!$BL$1-$A18,0),""))))</f>
        <v>0</v>
      </c>
      <c r="BL32" s="1">
        <f ca="1">IF(AND('Input data (2)'!$C$2=4,$D18&gt;=0),OFFSET('Input data (2)'!AW$126,'Input data (2)'!$BL$1-$D18,0),IF(AND('Input data (2)'!$C$2=3,$C18&gt;=0),OFFSET('Input data (2)'!AW$126,'Input data (2)'!$BL$1-$C18,0),IF(AND('Input data (2)'!$C$2=2,$B18&gt;=0),OFFSET('Input data (2)'!AW$126,'Input data (2)'!$BL$1-$B18,0),IF(AND('Input data (2)'!$C$2=1,$A18&gt;=0),OFFSET('Input data (2)'!AW$126,'Input data (2)'!$BL$1-$A18,0),""))))</f>
        <v>18</v>
      </c>
      <c r="BM32" s="1">
        <f ca="1">IF(AND('Input data (2)'!$C$2=4,$D18&gt;=0),OFFSET('Input data (2)'!AX$126,'Input data (2)'!$BL$1-$D18,0),IF(AND('Input data (2)'!$C$2=3,$C18&gt;=0),OFFSET('Input data (2)'!AX$126,'Input data (2)'!$BL$1-$C18,0),IF(AND('Input data (2)'!$C$2=2,$B18&gt;=0),OFFSET('Input data (2)'!AX$126,'Input data (2)'!$BL$1-$B18,0),IF(AND('Input data (2)'!$C$2=1,$A18&gt;=0),OFFSET('Input data (2)'!AX$126,'Input data (2)'!$BL$1-$A18,0),""))))</f>
        <v>1</v>
      </c>
      <c r="BO32" s="1">
        <f ca="1">IF(AND('Input data (2)'!$C$2=4,$D18&gt;=0),OFFSET('Input data (2)'!BL$126,'Input data (2)'!$BL$1-$D18,0),IF(AND('Input data (2)'!$C$2=3,$C18&gt;=0),OFFSET('Input data (2)'!BL$126,'Input data (2)'!$BL$1-$C18,0),IF(AND('Input data (2)'!$C$2=2,$B18&gt;=0),OFFSET('Input data (2)'!BL$126,'Input data (2)'!$BL$1-$B18,0),IF(AND('Input data (2)'!$C$2=1,$A18&gt;=0),OFFSET('Input data (2)'!BL$126,'Input data (2)'!$BL$1-$A18,0),""))))</f>
        <v>425</v>
      </c>
      <c r="BP32" s="1">
        <f ca="1">IF(AND('Input data (2)'!$C$2=4,$D18&gt;=0),OFFSET('Input data (2)'!BI$126,'Input data (2)'!$BL$1-$D18,0),IF(AND('Input data (2)'!$C$2=3,$C18&gt;=0),OFFSET('Input data (2)'!BI$126,'Input data (2)'!$BL$1-$C18,0),IF(AND('Input data (2)'!$C$2=2,$B18&gt;=0),OFFSET('Input data (2)'!BI$126,'Input data (2)'!$BL$1-$B18,0),IF(AND('Input data (2)'!$C$2=1,$A18&gt;=0),OFFSET('Input data (2)'!BI$126,'Input data (2)'!$BL$1-$A18,0),""))))</f>
        <v>241</v>
      </c>
      <c r="BQ32" s="1" t="str">
        <f ca="1">IF(AND('Input data (2)'!$C$2=4,$D18&gt;=0),OFFSET('Input data (2)'!BK$126,'Input data (2)'!$BL$1-$D18,0),IF(AND('Input data (2)'!$C$2=3,$C18&gt;=0),OFFSET('Input data (2)'!BK$126,'Input data (2)'!$BL$1-$C18,0),IF(AND('Input data (2)'!$C$2=2,$B18&gt;=0),OFFSET('Input data (2)'!BK$126,'Input data (2)'!$BL$1-$B18,0),IF(AND('Input data (2)'!$C$2=1,$A18&gt;=0),OFFSET('Input data (2)'!BK$126,'Input data (2)'!$BL$1-$A18,0),""))))</f>
        <v>..</v>
      </c>
      <c r="BR32" s="1">
        <f ca="1">IF(AND('Input data (2)'!$C$2=4,$D18&gt;=0),OFFSET('Input data (2)'!BJ$126,'Input data (2)'!$BL$1-$D18,0),IF(AND('Input data (2)'!$C$2=3,$C18&gt;=0),OFFSET('Input data (2)'!BJ$126,'Input data (2)'!$BL$1-$C18,0),IF(AND('Input data (2)'!$C$2=2,$B18&gt;=0),OFFSET('Input data (2)'!BJ$126,'Input data (2)'!$BL$1-$B18,0),IF(AND('Input data (2)'!$C$2=1,$A18&gt;=0),OFFSET('Input data (2)'!BJ$126,'Input data (2)'!$BL$1-$A18,0),""))))</f>
        <v>184</v>
      </c>
      <c r="BS32" s="1">
        <f ca="1">IF(AND('Input data (2)'!$C$2=4,$D18&gt;=0),OFFSET('Input data (2)'!BF$126,'Input data (2)'!$BL$1-$D18,0),IF(AND('Input data (2)'!$C$2=3,$C18&gt;=0),OFFSET('Input data (2)'!BF$126,'Input data (2)'!$BL$1-$C18,0),IF(AND('Input data (2)'!$C$2=2,$B18&gt;=0),OFFSET('Input data (2)'!BF$126,'Input data (2)'!$BL$1-$B18,0),IF(AND('Input data (2)'!$C$2=1,$A18&gt;=0),OFFSET('Input data (2)'!BF$126,'Input data (2)'!$BL$1-$A18,0),""))))</f>
        <v>28</v>
      </c>
      <c r="BT32" s="1">
        <f ca="1">IF(AND('Input data (2)'!$C$2=4,$D18&gt;=0),OFFSET('Input data (2)'!BD$126,'Input data (2)'!$BL$1-$D18,0),IF(AND('Input data (2)'!$C$2=3,$C18&gt;=0),OFFSET('Input data (2)'!BD$126,'Input data (2)'!$BL$1-$C18,0),IF(AND('Input data (2)'!$C$2=2,$B18&gt;=0),OFFSET('Input data (2)'!BD$126,'Input data (2)'!$BL$1-$B18,0),IF(AND('Input data (2)'!$C$2=1,$A18&gt;=0),OFFSET('Input data (2)'!BD$126,'Input data (2)'!$BL$1-$A18,0),""))))</f>
        <v>15</v>
      </c>
      <c r="BU32" s="1">
        <f ca="1">IF(AND('Input data (2)'!$C$2=4,$D18&gt;=0),OFFSET('Input data (2)'!BE$126,'Input data (2)'!$BL$1-$D18,0),IF(AND('Input data (2)'!$C$2=3,$C18&gt;=0),OFFSET('Input data (2)'!BE$126,'Input data (2)'!$BL$1-$C18,0),IF(AND('Input data (2)'!$C$2=2,$B18&gt;=0),OFFSET('Input data (2)'!BE$126,'Input data (2)'!$BL$1-$B18,0),IF(AND('Input data (2)'!$C$2=1,$A18&gt;=0),OFFSET('Input data (2)'!BE$126,'Input data (2)'!$BL$1-$A18,0),""))))</f>
        <v>13</v>
      </c>
      <c r="BW32" s="7">
        <f ca="1">IF(AND('Input data (2)'!$C$2=4,$D18&gt;=0),OFFSET('Input data (2)'!J$126,'Input data (2)'!$BL$1-$D18,0),IF(AND('Input data (2)'!$C$2=3,$C18&gt;=0),OFFSET('Input data (2)'!J$126,'Input data (2)'!$BL$1-$C18,0),IF(AND('Input data (2)'!$C$2=2,$B18&gt;=0),OFFSET('Input data (2)'!J$126,'Input data (2)'!$BL$1-$B18,0),IF(AND('Input data (2)'!$C$2=1,$A18&gt;=0),OFFSET('Input data (2)'!J$126,'Input data (2)'!$BL$1-$A18,0),""))))</f>
        <v>0.69489836809287286</v>
      </c>
      <c r="BX32" s="7">
        <f ca="1">IF(AND('Input data (2)'!$C$2=4,$D18&gt;=0),OFFSET('Input data (2)'!K$126,'Input data (2)'!$BL$1-$D18,0),IF(AND('Input data (2)'!$C$2=3,$C18&gt;=0),OFFSET('Input data (2)'!K$126,'Input data (2)'!$BL$1-$C18,0),IF(AND('Input data (2)'!$C$2=2,$B18&gt;=0),OFFSET('Input data (2)'!K$126,'Input data (2)'!$BL$1-$B18,0),IF(AND('Input data (2)'!$C$2=1,$A18&gt;=0),OFFSET('Input data (2)'!K$126,'Input data (2)'!$BL$1-$A18,0),""))))</f>
        <v>0.63730284667099502</v>
      </c>
      <c r="BY32" s="7">
        <f ca="1">IF(AND('Input data (2)'!$C$2=4,$D18&gt;=0),OFFSET('Input data (2)'!AS$126,'Input data (2)'!$BL$1-$D18,0),IF(AND('Input data (2)'!$C$2=3,$C18&gt;=0),OFFSET('Input data (2)'!AS$126,'Input data (2)'!$BL$1-$C18,0),IF(AND('Input data (2)'!$C$2=2,$B18&gt;=0),OFFSET('Input data (2)'!AS$126,'Input data (2)'!$BL$1-$B18,0),IF(AND('Input data (2)'!$C$2=1,$A18&gt;=0),OFFSET('Input data (2)'!AS$126,'Input data (2)'!$BL$1-$A18,0),""))))</f>
        <v>0.47383972989956685</v>
      </c>
      <c r="BZ32" s="7">
        <f ca="1">IF(AND('Input data (2)'!$C$2=4,$D18&gt;=0),OFFSET('Input data (2)'!AT$126,'Input data (2)'!$BL$1-$D18,0),IF(AND('Input data (2)'!$C$2=3,$C18&gt;=0),OFFSET('Input data (2)'!AT$126,'Input data (2)'!$BL$1-$C18,0),IF(AND('Input data (2)'!$C$2=2,$B18&gt;=0),OFFSET('Input data (2)'!AT$126,'Input data (2)'!$BL$1-$B18,0),IF(AND('Input data (2)'!$C$2=1,$A18&gt;=0),OFFSET('Input data (2)'!AT$126,'Input data (2)'!$BL$1-$A18,0),""))))</f>
        <v>0.43188393924886309</v>
      </c>
      <c r="CB32" s="122"/>
      <c r="CC32" s="122"/>
      <c r="CD32" s="122"/>
      <c r="CE32" s="122"/>
      <c r="CG32" s="1">
        <v>12</v>
      </c>
      <c r="CI32" s="1">
        <f t="shared" si="24"/>
        <v>2010</v>
      </c>
      <c r="CJ32" s="1" t="str">
        <f t="shared" si="25"/>
        <v>Q2</v>
      </c>
      <c r="CK32" s="1" t="str">
        <f t="shared" si="12"/>
        <v>10</v>
      </c>
      <c r="CL32" s="1" t="str">
        <f t="shared" si="13"/>
        <v>Q2 10</v>
      </c>
      <c r="CM32" s="1">
        <f ca="1">OFFSET('Input data (2)'!AJ$126,'Input data (2)'!$BL$1-'Output data - DO NOT TOUCH (2)'!$CG32,0)/1000</f>
        <v>15.256</v>
      </c>
      <c r="CN32" s="1">
        <f ca="1">OFFSET('Input data (2)'!AK$126,'Input data (2)'!$BL$1-'Output data - DO NOT TOUCH (2)'!$CG32,0)/1000</f>
        <v>13.262</v>
      </c>
      <c r="CO32" s="1" t="e">
        <f ca="1">OFFSET('Input data (2)'!AL$126,'Input data (2)'!$BL$1-'Output data - DO NOT TOUCH (2)'!$CG32,0)/1000</f>
        <v>#VALUE!</v>
      </c>
      <c r="CP32" s="1"/>
      <c r="CQ32" s="1">
        <f ca="1">OFFSET('Input data (2)'!AG$126,'Input data (2)'!$BL$1-'Output data - DO NOT TOUCH (2)'!$CG32,0)/1000</f>
        <v>1.1839999999999999</v>
      </c>
      <c r="CR32" s="1">
        <f ca="1">OFFSET('Input data (2)'!AH$126,'Input data (2)'!$BL$1-'Output data - DO NOT TOUCH (2)'!$CG32,0)/1000</f>
        <v>2.879</v>
      </c>
      <c r="CS32" s="1">
        <f ca="1">OFFSET('Input data (2)'!AI$126,'Input data (2)'!$BL$1-'Output data - DO NOT TOUCH (2)'!$CG32,0)/1000</f>
        <v>4.0629999999999997</v>
      </c>
      <c r="CT32" s="1"/>
      <c r="CU32" s="1">
        <f ca="1">OFFSET('Input data (2)'!L$126,'Input data (2)'!$BL$1-'Output data - DO NOT TOUCH (2)'!$CG32,0)</f>
        <v>302</v>
      </c>
      <c r="CV32" s="1">
        <f ca="1">OFFSET('Input data (2)'!M$126,'Input data (2)'!$BL$1-'Output data - DO NOT TOUCH (2)'!$CG32,0)</f>
        <v>0</v>
      </c>
      <c r="CW32" s="67">
        <f ca="1">OFFSET('Input data (2)'!N$126,'Input data (2)'!$BL$1-'Output data - DO NOT TOUCH (2)'!$CG32,0)</f>
        <v>777</v>
      </c>
      <c r="CX32" s="1">
        <f ca="1">OFFSET('Input data (2)'!P$126,'Input data (2)'!$BL$1-'Output data - DO NOT TOUCH (2)'!$CG32,0)</f>
        <v>232</v>
      </c>
      <c r="CY32" s="1"/>
      <c r="CZ32" s="1">
        <f ca="1">OFFSET('Input data (2)'!AY$126,'Input data (2)'!$BL$1-'Output data - DO NOT TOUCH (2)'!$CG32,0)/1000</f>
        <v>3.1389999999999998</v>
      </c>
      <c r="DA32" s="1">
        <f ca="1">OFFSET('Input data (2)'!BA$126,'Input data (2)'!$BL$1-'Output data - DO NOT TOUCH (2)'!$CG32,0)/1000</f>
        <v>2.2389999999999999</v>
      </c>
      <c r="DB32" s="1">
        <f ca="1">OFFSET('Input data (2)'!BB$126,'Input data (2)'!$BL$1-'Output data - DO NOT TOUCH (2)'!$CG32,0)/1000</f>
        <v>5.3780000000000001</v>
      </c>
      <c r="DD32" s="1">
        <f ca="1">OFFSET('Input data (2)'!AN$126,'Input data (2)'!$BL$1-'Output data - DO NOT TOUCH (2)'!$CG32,0)</f>
        <v>215</v>
      </c>
      <c r="DE32" s="1">
        <f ca="1">OFFSET('Input data (2)'!AO$126,'Input data (2)'!$BL$1-'Output data - DO NOT TOUCH (2)'!$CG32,0)</f>
        <v>82</v>
      </c>
      <c r="DF32" s="1">
        <f ca="1">OFFSET('Input data (2)'!AP$126,'Input data (2)'!$BL$1-'Output data - DO NOT TOUCH (2)'!$CG32,0)</f>
        <v>297</v>
      </c>
      <c r="DG32" s="1"/>
      <c r="DH32" s="1">
        <f ca="1">OFFSET('Input data (2)'!AU$126,'Input data (2)'!$BL$1-'Output data - DO NOT TOUCH (2)'!$CG32,0)</f>
        <v>22</v>
      </c>
      <c r="DI32" s="1">
        <f ca="1">OFFSET('Input data (2)'!AV$126,'Input data (2)'!$BL$1-'Output data - DO NOT TOUCH (2)'!$CG32,0)</f>
        <v>1</v>
      </c>
      <c r="DJ32" s="1">
        <f ca="1">OFFSET('Input data (2)'!AW$126,'Input data (2)'!$BL$1-'Output data - DO NOT TOUCH (2)'!$CG32,0)</f>
        <v>51</v>
      </c>
      <c r="DK32" s="1">
        <f ca="1">OFFSET('Input data (2)'!AX$126,'Input data (2)'!$BL$1-'Output data - DO NOT TOUCH (2)'!$CG32,0)</f>
        <v>1</v>
      </c>
      <c r="DM32" s="1">
        <f ca="1">OFFSET('Input data (2)'!BI$126,'Input data (2)'!$BL$1-'Output data - DO NOT TOUCH (2)'!$CG32,0)</f>
        <v>363</v>
      </c>
      <c r="DN32" s="1">
        <f ca="1">OFFSET('Input data (2)'!BJ$126,'Input data (2)'!$BL$1-'Output data - DO NOT TOUCH (2)'!$CG32,0)</f>
        <v>273</v>
      </c>
      <c r="DO32" s="1">
        <f ca="1">OFFSET('Input data (2)'!BL$126,'Input data (2)'!$BL$1-'Output data - DO NOT TOUCH (2)'!$CG32,0)</f>
        <v>636</v>
      </c>
      <c r="DQ32" s="1">
        <f ca="1">OFFSET('Input data (2)'!BD$126,'Input data (2)'!$BL$1-'Output data - DO NOT TOUCH (2)'!$CG32,0)</f>
        <v>92</v>
      </c>
      <c r="DR32" s="1">
        <f ca="1">OFFSET('Input data (2)'!BE$126,'Input data (2)'!$BL$1-'Output data - DO NOT TOUCH (2)'!$CG32,0)</f>
        <v>24</v>
      </c>
      <c r="DS32" s="1">
        <f ca="1">OFFSET('Input data (2)'!BF$126,'Input data (2)'!$BL$1-'Output data - DO NOT TOUCH (2)'!$CG32,0)</f>
        <v>116</v>
      </c>
      <c r="DU32" s="1">
        <f ca="1">OFFSET('Input data (2)'!B$126,'Input data (2)'!$BL$1-'Output data - DO NOT TOUCH (2)'!$CG32-1,0)</f>
        <v>2010</v>
      </c>
      <c r="DV32" s="1" t="str">
        <f ca="1">OFFSET('Input data (2)'!C$126,'Input data (2)'!$BL$1-'Output data - DO NOT TOUCH (2)'!$CG32-1,0)</f>
        <v>Q1</v>
      </c>
      <c r="DW32" s="1" t="str">
        <f t="shared" ca="1" si="14"/>
        <v>10</v>
      </c>
      <c r="DX32" s="1" t="str">
        <f t="shared" ca="1" si="15"/>
        <v>Q1 10</v>
      </c>
      <c r="DY32" s="1">
        <f ca="1">OFFSET('Input data (2)'!W$126,'Input data (2)'!$BL$1-'Output data - DO NOT TOUCH (2)'!$CG32-1,0)/1000</f>
        <v>2.3210000000000002</v>
      </c>
      <c r="DZ32" s="1">
        <f ca="1">OFFSET('Input data (2)'!Y$126,'Input data (2)'!$BL$1-'Output data - DO NOT TOUCH (2)'!$CG32-1,0)/1000</f>
        <v>15.935</v>
      </c>
      <c r="EA32" s="1">
        <f ca="1">OFFSET('Input data (2)'!Q$126,'Input data (2)'!$BL$1-'Output data - DO NOT TOUCH (2)'!$CG32-1,0)/1000</f>
        <v>18.256</v>
      </c>
    </row>
    <row r="33" spans="1:131" x14ac:dyDescent="0.15">
      <c r="A33" s="1">
        <v>11</v>
      </c>
      <c r="B33" s="1">
        <v>12</v>
      </c>
      <c r="C33" s="1">
        <v>13</v>
      </c>
      <c r="D33" s="1">
        <v>10</v>
      </c>
      <c r="E33" s="1" t="str">
        <f>F33&amp;G33</f>
        <v>2006Q4</v>
      </c>
      <c r="F33" s="1">
        <f>F28+1</f>
        <v>2006</v>
      </c>
      <c r="G33" s="1" t="s">
        <v>4</v>
      </c>
      <c r="H33" s="1">
        <f>VLOOKUP($E33,'Input data (2)'!$A:$BL,'Output data - DO NOT TOUCH (2)'!H$71,FALSE)</f>
        <v>3166</v>
      </c>
      <c r="I33" s="1">
        <f>VLOOKUP($E33,'Input data (2)'!$A:$BL,'Output data - DO NOT TOUCH (2)'!I$71,FALSE)</f>
        <v>1396</v>
      </c>
      <c r="J33" s="1">
        <f>VLOOKUP($E33,'Input data (2)'!$A:$BL,'Output data - DO NOT TOUCH (2)'!J$71,FALSE)</f>
        <v>1770</v>
      </c>
      <c r="K33" s="1">
        <f>VLOOKUP($E33,'Input data (2)'!$A:$BL,'Output data - DO NOT TOUCH (2)'!K$71,FALSE)</f>
        <v>3216</v>
      </c>
      <c r="L33" s="1">
        <f>VLOOKUP($E33,'Input data (2)'!$A:$BL,'Output data - DO NOT TOUCH (2)'!L$71,FALSE)</f>
        <v>1384</v>
      </c>
      <c r="M33" s="1">
        <f>VLOOKUP($E33,'Input data (2)'!$A:$BL,'Output data - DO NOT TOUCH (2)'!M$71,FALSE)</f>
        <v>1832</v>
      </c>
      <c r="O33" s="119">
        <f ca="1">IF(AND('Input data (2)'!$C$2=4,$D19&gt;=0),OFFSET('Input data (2)'!O$126,'Input data (2)'!$BL$1-$D19,0),IF(AND('Input data (2)'!$C$2=3,$C19&gt;=0),OFFSET('Input data (2)'!O$126,'Input data (2)'!$BL$1-$C19,0),IF(AND('Input data (2)'!$C$2=2,$B19&gt;=0),OFFSET('Input data (2)'!O$126,'Input data (2)'!$BL$1-$B19,0),IF(AND('Input data (2)'!$C$2=1,$A19&gt;=0),OFFSET('Input data (2)'!O$126,'Input data (2)'!$BL$1-$A19,0),""))))</f>
        <v>242</v>
      </c>
      <c r="Q33" s="1">
        <f ca="1">IF(AND('Input data (2)'!$C$2=4,$D19&gt;=0),OFFSET('Input data (2)'!AC$126,'Input data (2)'!$BL$1-$D19,0),IF(AND('Input data (2)'!$C$2=3,$C19&gt;=0),OFFSET('Input data (2)'!AC$126,'Input data (2)'!$BL$1-$C19,0),IF(AND('Input data (2)'!$C$2=2,$B19&gt;=0),OFFSET('Input data (2)'!AC$126,'Input data (2)'!$BL$1-$B19,0),IF(AND('Input data (2)'!$C$2=1,$A19&gt;=0),OFFSET('Input data (2)'!AC$126,'Input data (2)'!$BL$1-$A19,0),""))))</f>
        <v>28544</v>
      </c>
      <c r="R33" s="1">
        <f ca="1">IF(AND('Input data (2)'!$C$2=4,$D19&gt;=0),OFFSET('Input data (2)'!Q$126,'Input data (2)'!$BL$1-$D19,0),IF(AND('Input data (2)'!$C$2=3,$C19&gt;=0),OFFSET('Input data (2)'!Q$126,'Input data (2)'!$BL$1-$C19,0),IF(AND('Input data (2)'!$C$2=2,$B19&gt;=0),OFFSET('Input data (2)'!Q$126,'Input data (2)'!$BL$1-$B19,0),IF(AND('Input data (2)'!$C$2=1,$A19&gt;=0),OFFSET('Input data (2)'!Q$126,'Input data (2)'!$BL$1-$A19,0),""))))</f>
        <v>15766</v>
      </c>
      <c r="S33" s="1" t="str">
        <f ca="1">IF(AND('Input data (2)'!$C$2=4,$D19&gt;=0),OFFSET('Input data (2)'!R$126,'Input data (2)'!$BL$1-$D19,0),IF(AND('Input data (2)'!$C$2=3,$C19&gt;=0),OFFSET('Input data (2)'!R$126,'Input data (2)'!$BL$1-$C19,0),IF(AND('Input data (2)'!$C$2=2,$B19&gt;=0),OFFSET('Input data (2)'!R$126,'Input data (2)'!$BL$1-$B19,0),IF(AND('Input data (2)'!$C$2=1,$A19&gt;=0),OFFSET('Input data (2)'!R$126,'Input data (2)'!$BL$1-$A19,0),""))))</f>
        <v>:</v>
      </c>
      <c r="T33" s="1">
        <f ca="1">IF(AND('Input data (2)'!$C$2=4,$D19&gt;=0),OFFSET('Input data (2)'!AA$126,'Input data (2)'!$BL$1-$D19,0),IF(AND('Input data (2)'!$C$2=3,$C19&gt;=0),OFFSET('Input data (2)'!AA$126,'Input data (2)'!$BL$1-$C19,0),IF(AND('Input data (2)'!$C$2=2,$B19&gt;=0),OFFSET('Input data (2)'!AA$126,'Input data (2)'!$BL$1-$B19,0),IF(AND('Input data (2)'!$C$2=1,$A19&gt;=0),OFFSET('Input data (2)'!AA$126,'Input data (2)'!$BL$1-$A19,0),""))))</f>
        <v>12778</v>
      </c>
      <c r="U33" s="1">
        <f ca="1">IF(AND('Input data (2)'!$C$2=4,$D19&gt;=0),OFFSET('Input data (2)'!AL$126,'Input data (2)'!$BL$1-$D19,0),IF(AND('Input data (2)'!$C$2=3,$C19&gt;=0),OFFSET('Input data (2)'!AL$126,'Input data (2)'!$BL$1-$C19,0),IF(AND('Input data (2)'!$C$2=2,$B19&gt;=0),OFFSET('Input data (2)'!AL$126,'Input data (2)'!$BL$1-$B19,0),IF(AND('Input data (2)'!$C$2=1,$A19&gt;=0),OFFSET('Input data (2)'!AL$126,'Input data (2)'!$BL$1-$A19,0),""))))</f>
        <v>29394</v>
      </c>
      <c r="V33" s="1">
        <f ca="1">IF(AND('Input data (2)'!$C$2=4,$D19&gt;=0),OFFSET('Input data (2)'!AJ$126,'Input data (2)'!$BL$1-$D19,0),IF(AND('Input data (2)'!$C$2=3,$C19&gt;=0),OFFSET('Input data (2)'!AJ$126,'Input data (2)'!$BL$1-$C19,0),IF(AND('Input data (2)'!$C$2=2,$B19&gt;=0),OFFSET('Input data (2)'!AJ$126,'Input data (2)'!$BL$1-$B19,0),IF(AND('Input data (2)'!$C$2=1,$A19&gt;=0),OFFSET('Input data (2)'!AJ$126,'Input data (2)'!$BL$1-$A19,0),""))))</f>
        <v>16818</v>
      </c>
      <c r="W33" s="1">
        <f ca="1">IF(AND('Input data (2)'!$C$2=4,$D19&gt;=0),OFFSET('Input data (2)'!AK$126,'Input data (2)'!$BL$1-$D19,0),IF(AND('Input data (2)'!$C$2=3,$C19&gt;=0),OFFSET('Input data (2)'!AK$126,'Input data (2)'!$BL$1-$C19,0),IF(AND('Input data (2)'!$C$2=2,$B19&gt;=0),OFFSET('Input data (2)'!AK$126,'Input data (2)'!$BL$1-$B19,0),IF(AND('Input data (2)'!$C$2=1,$A19&gt;=0),OFFSET('Input data (2)'!AK$126,'Input data (2)'!$BL$1-$A19,0),""))))</f>
        <v>12576</v>
      </c>
      <c r="Y33" s="1">
        <f ca="1">IF(AND('Input data (2)'!$C$2=4,$D19&gt;=0),OFFSET('Input data (2)'!Q$126,'Input data (2)'!$BL$1-$D19,0),IF(AND('Input data (2)'!$C$2=3,$C19&gt;=0),OFFSET('Input data (2)'!Q$126,'Input data (2)'!$BL$1-$C19,0),IF(AND('Input data (2)'!$C$2=2,$B19&gt;=0),OFFSET('Input data (2)'!Q$126,'Input data (2)'!$BL$1-$B19,0),IF(AND('Input data (2)'!$C$2=1,$A19&gt;=0),OFFSET('Input data (2)'!Q$126,'Input data (2)'!$BL$1-$A19,0),""))))</f>
        <v>15766</v>
      </c>
      <c r="Z33" s="1">
        <f ca="1">IF(AND('Input data (2)'!$C$2=4,$D19&gt;=0),OFFSET('Input data (2)'!S$126,'Input data (2)'!$BL$1-$D19,0),IF(AND('Input data (2)'!$C$2=3,$C19&gt;=0),OFFSET('Input data (2)'!S$126,'Input data (2)'!$BL$1-$C19,0),IF(AND('Input data (2)'!$C$2=2,$B19&gt;=0),OFFSET('Input data (2)'!S$126,'Input data (2)'!$BL$1-$B19,0),IF(AND('Input data (2)'!$C$2=1,$A19&gt;=0),OFFSET('Input data (2)'!S$126,'Input data (2)'!$BL$1-$A19,0),""))))</f>
        <v>13424</v>
      </c>
      <c r="AA33" s="1">
        <f ca="1">IF(AND('Input data (2)'!$C$2=4,$D19&gt;=0),OFFSET('Input data (2)'!T$126,'Input data (2)'!$BL$1-$D19,0),IF(AND('Input data (2)'!$C$2=3,$C19&gt;=0),OFFSET('Input data (2)'!T$126,'Input data (2)'!$BL$1-$C19,0),IF(AND('Input data (2)'!$C$2=2,$B19&gt;=0),OFFSET('Input data (2)'!T$126,'Input data (2)'!$BL$1-$B19,0),IF(AND('Input data (2)'!$C$2=1,$A19&gt;=0),OFFSET('Input data (2)'!T$126,'Input data (2)'!$BL$1-$A19,0),""))))</f>
        <v>85.145249270582269</v>
      </c>
      <c r="AB33" s="1">
        <f ca="1">IF(AND('Input data (2)'!$C$2=4,$D19&gt;=0),OFFSET('Input data (2)'!U$126,'Input data (2)'!$BL$1-$D19,0),IF(AND('Input data (2)'!$C$2=3,$C19&gt;=0),OFFSET('Input data (2)'!U$126,'Input data (2)'!$BL$1-$C19,0),IF(AND('Input data (2)'!$C$2=2,$B19&gt;=0),OFFSET('Input data (2)'!U$126,'Input data (2)'!$BL$1-$B19,0),IF(AND('Input data (2)'!$C$2=1,$A19&gt;=0),OFFSET('Input data (2)'!U$126,'Input data (2)'!$BL$1-$A19,0),""))))</f>
        <v>2342</v>
      </c>
      <c r="AC33" s="1">
        <f ca="1">IF(AND('Input data (2)'!$C$2=4,$D19&gt;=0),OFFSET('Input data (2)'!V$126,'Input data (2)'!$BL$1-$D19,0),IF(AND('Input data (2)'!$C$2=3,$C19&gt;=0),OFFSET('Input data (2)'!V$126,'Input data (2)'!$BL$1-$C19,0),IF(AND('Input data (2)'!$C$2=2,$B19&gt;=0),OFFSET('Input data (2)'!V$126,'Input data (2)'!$BL$1-$B19,0),IF(AND('Input data (2)'!$C$2=1,$A19&gt;=0),OFFSET('Input data (2)'!V$126,'Input data (2)'!$BL$1-$A19,0),""))))</f>
        <v>14.854750729417734</v>
      </c>
      <c r="AD33" s="1">
        <f ca="1">IF(AND('Input data (2)'!$C$2=4,$D19&gt;=0),OFFSET('Input data (2)'!Q$126,'Input data (2)'!$BL$1-$D19,0),IF(AND('Input data (2)'!$C$2=3,$C19&gt;=0),OFFSET('Input data (2)'!Q$126,'Input data (2)'!$BL$1-$C19,0),IF(AND('Input data (2)'!$C$2=2,$B19&gt;=0),OFFSET('Input data (2)'!Q$126,'Input data (2)'!$BL$1-$B19,0),IF(AND('Input data (2)'!$C$2=1,$A19&gt;=0),OFFSET('Input data (2)'!Q$126,'Input data (2)'!$BL$1-$A19,0),""))))</f>
        <v>15766</v>
      </c>
      <c r="AE33" s="1">
        <f ca="1">IF(AND('Input data (2)'!$C$2=4,$D19&gt;=0),OFFSET('Input data (2)'!W$126,'Input data (2)'!$BL$1-$D19,0),IF(AND('Input data (2)'!$C$2=3,$C19&gt;=0),OFFSET('Input data (2)'!W$126,'Input data (2)'!$BL$1-$C19,0),IF(AND('Input data (2)'!$C$2=2,$B19&gt;=0),OFFSET('Input data (2)'!W$126,'Input data (2)'!$BL$1-$B19,0),IF(AND('Input data (2)'!$C$2=1,$A19&gt;=0),OFFSET('Input data (2)'!W$126,'Input data (2)'!$BL$1-$A19,0),""))))</f>
        <v>1856</v>
      </c>
      <c r="AF33" s="1">
        <f ca="1">IF(AND('Input data (2)'!$C$2=4,$D19&gt;=0),OFFSET('Input data (2)'!X$126,'Input data (2)'!$BL$1-$D19,0),IF(AND('Input data (2)'!$C$2=3,$C19&gt;=0),OFFSET('Input data (2)'!X$126,'Input data (2)'!$BL$1-$C19,0),IF(AND('Input data (2)'!$C$2=2,$B19&gt;=0),OFFSET('Input data (2)'!X$126,'Input data (2)'!$BL$1-$B19,0),IF(AND('Input data (2)'!$C$2=1,$A19&gt;=0),OFFSET('Input data (2)'!X$126,'Input data (2)'!$BL$1-$A19,0),""))))</f>
        <v>11.772167956361791</v>
      </c>
      <c r="AG33" s="1">
        <f ca="1">IF(AND('Input data (2)'!$C$2=4,$D19&gt;=0),OFFSET('Input data (2)'!Y$126,'Input data (2)'!$BL$1-$D19,0),IF(AND('Input data (2)'!$C$2=3,$C19&gt;=0),OFFSET('Input data (2)'!Y$126,'Input data (2)'!$BL$1-$C19,0),IF(AND('Input data (2)'!$C$2=2,$B19&gt;=0),OFFSET('Input data (2)'!Y$126,'Input data (2)'!$BL$1-$B19,0),IF(AND('Input data (2)'!$C$2=1,$A19&gt;=0),OFFSET('Input data (2)'!Y$126,'Input data (2)'!$BL$1-$A19,0),""))))</f>
        <v>13910</v>
      </c>
      <c r="AH33" s="1">
        <f ca="1">IF(AND('Input data (2)'!$C$2=4,$D19&gt;=0),OFFSET('Input data (2)'!Z$126,'Input data (2)'!$BL$1-$D19,0),IF(AND('Input data (2)'!$C$2=3,$C19&gt;=0),OFFSET('Input data (2)'!Z$126,'Input data (2)'!$BL$1-$C19,0),IF(AND('Input data (2)'!$C$2=2,$B19&gt;=0),OFFSET('Input data (2)'!Z$126,'Input data (2)'!$BL$1-$B19,0),IF(AND('Input data (2)'!$C$2=1,$A19&gt;=0),OFFSET('Input data (2)'!Z$126,'Input data (2)'!$BL$1-$A19,0),""))))</f>
        <v>88.227832043638216</v>
      </c>
      <c r="AI33" s="3"/>
      <c r="AJ33" s="124">
        <f ca="1">IF(AND('Input data (2)'!$C$2=4,$D19&gt;=0),OFFSET('Input data (2)'!AF$126,'Input data (2)'!$BL$1-$D19,0),IF(AND('Input data (2)'!$C$2=3,$C19&gt;=0),OFFSET('Input data (2)'!AF$126,'Input data (2)'!$BL$1-$C19,0),IF(AND('Input data (2)'!$C$2=2,$B19&gt;=0),OFFSET('Input data (2)'!AF$126,'Input data (2)'!$BL$1-$B19,0),IF(AND('Input data (2)'!$C$2=1,$A19&gt;=0),OFFSET('Input data (2)'!AF$126,'Input data (2)'!$BL$1-$A19,0),""))))</f>
        <v>3687</v>
      </c>
      <c r="AK33" s="124">
        <f ca="1">IF(AND('Input data (2)'!$C$2=4,$D19&gt;=0),OFFSET('Input data (2)'!AD$126,'Input data (2)'!$BL$1-$D19,0),IF(AND('Input data (2)'!$C$2=3,$C19&gt;=0),OFFSET('Input data (2)'!AD$126,'Input data (2)'!$BL$1-$C19,0),IF(AND('Input data (2)'!$C$2=2,$B19&gt;=0),OFFSET('Input data (2)'!AD$126,'Input data (2)'!$BL$1-$B19,0),IF(AND('Input data (2)'!$C$2=1,$A19&gt;=0),OFFSET('Input data (2)'!AD$126,'Input data (2)'!$BL$1-$A19,0),""))))</f>
        <v>16</v>
      </c>
      <c r="AL33" s="124">
        <f ca="1">IF(AND('Input data (2)'!$C$2=4,$D19&gt;=0),OFFSET('Input data (2)'!AE$126,'Input data (2)'!$BL$1-$D19,0),IF(AND('Input data (2)'!$C$2=3,$C19&gt;=0),OFFSET('Input data (2)'!AE$126,'Input data (2)'!$BL$1-$C19,0),IF(AND('Input data (2)'!$C$2=2,$B19&gt;=0),OFFSET('Input data (2)'!AE$126,'Input data (2)'!$BL$1-$B19,0),IF(AND('Input data (2)'!$C$2=1,$A19&gt;=0),OFFSET('Input data (2)'!AE$126,'Input data (2)'!$BL$1-$A19,0),""))))</f>
        <v>3671</v>
      </c>
      <c r="AW33" s="1">
        <f ca="1">IF(AND('Input data (2)'!$C$2=4,$D19&gt;=0),OFFSET('Input data (2)'!L$126,'Input data (2)'!$BL$1-$D19,0),IF(AND('Input data (2)'!$C$2=3,$C19&gt;=0),OFFSET('Input data (2)'!L$126,'Input data (2)'!$BL$1-$C19,0),IF(AND('Input data (2)'!$C$2=2,$B19&gt;=0),OFFSET('Input data (2)'!L$126,'Input data (2)'!$BL$1-$B19,0),IF(AND('Input data (2)'!$C$2=1,$A19&gt;=0),OFFSET('Input data (2)'!L$126,'Input data (2)'!$BL$1-$A19,0),""))))</f>
        <v>162</v>
      </c>
      <c r="AX33" s="1">
        <f ca="1">IF(AND('Input data (2)'!$C$2=4,$D19&gt;=0),OFFSET('Input data (2)'!M$126,'Input data (2)'!$BL$1-$D19,0),IF(AND('Input data (2)'!$C$2=3,$C19&gt;=0),OFFSET('Input data (2)'!M$126,'Input data (2)'!$BL$1-$C19,0),IF(AND('Input data (2)'!$C$2=2,$B19&gt;=0),OFFSET('Input data (2)'!M$126,'Input data (2)'!$BL$1-$B19,0),IF(AND('Input data (2)'!$C$2=1,$A19&gt;=0),OFFSET('Input data (2)'!M$126,'Input data (2)'!$BL$1-$A19,0),""))))</f>
        <v>0</v>
      </c>
      <c r="AY33" s="1">
        <f ca="1">IF(AND('Input data (2)'!$C$2=4,$D19&gt;=0),OFFSET('Input data (2)'!N$126,'Input data (2)'!$BL$1-$D19,0),IF(AND('Input data (2)'!$C$2=3,$C19&gt;=0),OFFSET('Input data (2)'!N$126,'Input data (2)'!$BL$1-$C19,0),IF(AND('Input data (2)'!$C$2=2,$B19&gt;=0),OFFSET('Input data (2)'!N$126,'Input data (2)'!$BL$1-$B19,0),IF(AND('Input data (2)'!$C$2=1,$A19&gt;=0),OFFSET('Input data (2)'!N$126,'Input data (2)'!$BL$1-$A19,0),""))))</f>
        <v>1479</v>
      </c>
      <c r="AZ33" s="1">
        <f ca="1">IF(AND('Input data (2)'!$C$2=4,$D19&gt;=0),OFFSET('Input data (2)'!P$126,'Input data (2)'!$BL$1-$D19,0),IF(AND('Input data (2)'!$C$2=3,$C19&gt;=0),OFFSET('Input data (2)'!P$126,'Input data (2)'!$BL$1-$C19,0),IF(AND('Input data (2)'!$C$2=2,$B19&gt;=0),OFFSET('Input data (2)'!P$126,'Input data (2)'!$BL$1-$B19,0),IF(AND('Input data (2)'!$C$2=1,$A19&gt;=0),OFFSET('Input data (2)'!P$126,'Input data (2)'!$BL$1-$A19,0),""))))</f>
        <v>106</v>
      </c>
      <c r="BB33" s="1">
        <f ca="1">IF(AND('Input data (2)'!$C$2=4,$D19&gt;=0),OFFSET('Input data (2)'!BB$126,'Input data (2)'!$BL$1-$D19,0),IF(AND('Input data (2)'!$C$2=3,$C19&gt;=0),OFFSET('Input data (2)'!BB$126,'Input data (2)'!$BL$1-$C19,0),IF(AND('Input data (2)'!$C$2=2,$B19&gt;=0),OFFSET('Input data (2)'!BB$126,'Input data (2)'!$BL$1-$B19,0),IF(AND('Input data (2)'!$C$2=1,$A19&gt;=0),OFFSET('Input data (2)'!BB$126,'Input data (2)'!$BL$1-$A19,0),""))))</f>
        <v>3540</v>
      </c>
      <c r="BC33" s="1">
        <f ca="1">IF(AND('Input data (2)'!$C$2=4,$D19&gt;=0),OFFSET('Input data (2)'!AY$126,'Input data (2)'!$BL$1-$D19,0),IF(AND('Input data (2)'!$C$2=3,$C19&gt;=0),OFFSET('Input data (2)'!AY$126,'Input data (2)'!$BL$1-$C19,0),IF(AND('Input data (2)'!$C$2=2,$B19&gt;=0),OFFSET('Input data (2)'!AY$126,'Input data (2)'!$BL$1-$B19,0),IF(AND('Input data (2)'!$C$2=1,$A19&gt;=0),OFFSET('Input data (2)'!AY$126,'Input data (2)'!$BL$1-$A19,0),""))))</f>
        <v>1516</v>
      </c>
      <c r="BD33" s="1" t="str">
        <f ca="1">IF(AND('Input data (2)'!$C$2=4,$D19&gt;=0),OFFSET('Input data (2)'!AZ$126,'Input data (2)'!$BL$1-$D19,0),IF(AND('Input data (2)'!$C$2=3,$C19&gt;=0),OFFSET('Input data (2)'!AZ$126,'Input data (2)'!$BL$1-$C19,0),IF(AND('Input data (2)'!$C$2=2,$B19&gt;=0),OFFSET('Input data (2)'!AZ$126,'Input data (2)'!$BL$1-$B19,0),IF(AND('Input data (2)'!$C$2=1,$A19&gt;=0),OFFSET('Input data (2)'!AZ$126,'Input data (2)'!$BL$1-$A19,0),""))))</f>
        <v>:</v>
      </c>
      <c r="BE33" s="1">
        <f ca="1">IF(AND('Input data (2)'!$C$2=4,$D19&gt;=0),OFFSET('Input data (2)'!BA$126,'Input data (2)'!$BL$1-$D19,0),IF(AND('Input data (2)'!$C$2=3,$C19&gt;=0),OFFSET('Input data (2)'!BA$126,'Input data (2)'!$BL$1-$C19,0),IF(AND('Input data (2)'!$C$2=2,$B19&gt;=0),OFFSET('Input data (2)'!BA$126,'Input data (2)'!$BL$1-$B19,0),IF(AND('Input data (2)'!$C$2=1,$A19&gt;=0),OFFSET('Input data (2)'!BA$126,'Input data (2)'!$BL$1-$A19,0),""))))</f>
        <v>2024</v>
      </c>
      <c r="BF33" s="1">
        <f ca="1">IF(AND('Input data (2)'!$C$2=4,$D19&gt;=0),OFFSET('Input data (2)'!AP$126,'Input data (2)'!$BL$1-$D19,0),IF(AND('Input data (2)'!$C$2=3,$C19&gt;=0),OFFSET('Input data (2)'!AP$126,'Input data (2)'!$BL$1-$C19,0),IF(AND('Input data (2)'!$C$2=2,$B19&gt;=0),OFFSET('Input data (2)'!AP$126,'Input data (2)'!$BL$1-$B19,0),IF(AND('Input data (2)'!$C$2=1,$A19&gt;=0),OFFSET('Input data (2)'!AP$126,'Input data (2)'!$BL$1-$A19,0),""))))</f>
        <v>132</v>
      </c>
      <c r="BG33" s="1">
        <f ca="1">IF(AND('Input data (2)'!$C$2=4,$D19&gt;=0),OFFSET('Input data (2)'!AN$126,'Input data (2)'!$BL$1-$D19,0),IF(AND('Input data (2)'!$C$2=3,$C19&gt;=0),OFFSET('Input data (2)'!AN$126,'Input data (2)'!$BL$1-$C19,0),IF(AND('Input data (2)'!$C$2=2,$B19&gt;=0),OFFSET('Input data (2)'!AN$126,'Input data (2)'!$BL$1-$B19,0),IF(AND('Input data (2)'!$C$2=1,$A19&gt;=0),OFFSET('Input data (2)'!AN$126,'Input data (2)'!$BL$1-$A19,0),""))))</f>
        <v>89</v>
      </c>
      <c r="BH33" s="1">
        <f ca="1">IF(AND('Input data (2)'!$C$2=4,$D19&gt;=0),OFFSET('Input data (2)'!AO$126,'Input data (2)'!$BL$1-$D19,0),IF(AND('Input data (2)'!$C$2=3,$C19&gt;=0),OFFSET('Input data (2)'!AO$126,'Input data (2)'!$BL$1-$C19,0),IF(AND('Input data (2)'!$C$2=2,$B19&gt;=0),OFFSET('Input data (2)'!AO$126,'Input data (2)'!$BL$1-$B19,0),IF(AND('Input data (2)'!$C$2=1,$A19&gt;=0),OFFSET('Input data (2)'!AO$126,'Input data (2)'!$BL$1-$A19,0),""))))</f>
        <v>43</v>
      </c>
      <c r="BJ33" s="1">
        <f ca="1">IF(AND('Input data (2)'!$C$2=4,$D19&gt;=0),OFFSET('Input data (2)'!AU$126,'Input data (2)'!$BL$1-$D19,0),IF(AND('Input data (2)'!$C$2=3,$C19&gt;=0),OFFSET('Input data (2)'!AU$126,'Input data (2)'!$BL$1-$C19,0),IF(AND('Input data (2)'!$C$2=2,$B19&gt;=0),OFFSET('Input data (2)'!AU$126,'Input data (2)'!$BL$1-$B19,0),IF(AND('Input data (2)'!$C$2=1,$A19&gt;=0),OFFSET('Input data (2)'!AU$126,'Input data (2)'!$BL$1-$A19,0),""))))</f>
        <v>4</v>
      </c>
      <c r="BK33" s="1">
        <f ca="1">IF(AND('Input data (2)'!$C$2=4,$D19&gt;=0),OFFSET('Input data (2)'!AV$126,'Input data (2)'!$BL$1-$D19,0),IF(AND('Input data (2)'!$C$2=3,$C19&gt;=0),OFFSET('Input data (2)'!AV$126,'Input data (2)'!$BL$1-$C19,0),IF(AND('Input data (2)'!$C$2=2,$B19&gt;=0),OFFSET('Input data (2)'!AV$126,'Input data (2)'!$BL$1-$B19,0),IF(AND('Input data (2)'!$C$2=1,$A19&gt;=0),OFFSET('Input data (2)'!AV$126,'Input data (2)'!$BL$1-$A19,0),""))))</f>
        <v>0</v>
      </c>
      <c r="BL33" s="1">
        <f ca="1">IF(AND('Input data (2)'!$C$2=4,$D19&gt;=0),OFFSET('Input data (2)'!AW$126,'Input data (2)'!$BL$1-$D19,0),IF(AND('Input data (2)'!$C$2=3,$C19&gt;=0),OFFSET('Input data (2)'!AW$126,'Input data (2)'!$BL$1-$C19,0),IF(AND('Input data (2)'!$C$2=2,$B19&gt;=0),OFFSET('Input data (2)'!AW$126,'Input data (2)'!$BL$1-$B19,0),IF(AND('Input data (2)'!$C$2=1,$A19&gt;=0),OFFSET('Input data (2)'!AW$126,'Input data (2)'!$BL$1-$A19,0),""))))</f>
        <v>20</v>
      </c>
      <c r="BM33" s="1">
        <f ca="1">IF(AND('Input data (2)'!$C$2=4,$D19&gt;=0),OFFSET('Input data (2)'!AX$126,'Input data (2)'!$BL$1-$D19,0),IF(AND('Input data (2)'!$C$2=3,$C19&gt;=0),OFFSET('Input data (2)'!AX$126,'Input data (2)'!$BL$1-$C19,0),IF(AND('Input data (2)'!$C$2=2,$B19&gt;=0),OFFSET('Input data (2)'!AX$126,'Input data (2)'!$BL$1-$B19,0),IF(AND('Input data (2)'!$C$2=1,$A19&gt;=0),OFFSET('Input data (2)'!AX$126,'Input data (2)'!$BL$1-$A19,0),""))))</f>
        <v>1</v>
      </c>
      <c r="BO33" s="1">
        <f ca="1">IF(AND('Input data (2)'!$C$2=4,$D19&gt;=0),OFFSET('Input data (2)'!BL$126,'Input data (2)'!$BL$1-$D19,0),IF(AND('Input data (2)'!$C$2=3,$C19&gt;=0),OFFSET('Input data (2)'!BL$126,'Input data (2)'!$BL$1-$C19,0),IF(AND('Input data (2)'!$C$2=2,$B19&gt;=0),OFFSET('Input data (2)'!BL$126,'Input data (2)'!$BL$1-$B19,0),IF(AND('Input data (2)'!$C$2=1,$A19&gt;=0),OFFSET('Input data (2)'!BL$126,'Input data (2)'!$BL$1-$A19,0),""))))</f>
        <v>482</v>
      </c>
      <c r="BP33" s="1">
        <f ca="1">IF(AND('Input data (2)'!$C$2=4,$D19&gt;=0),OFFSET('Input data (2)'!BI$126,'Input data (2)'!$BL$1-$D19,0),IF(AND('Input data (2)'!$C$2=3,$C19&gt;=0),OFFSET('Input data (2)'!BI$126,'Input data (2)'!$BL$1-$C19,0),IF(AND('Input data (2)'!$C$2=2,$B19&gt;=0),OFFSET('Input data (2)'!BI$126,'Input data (2)'!$BL$1-$B19,0),IF(AND('Input data (2)'!$C$2=1,$A19&gt;=0),OFFSET('Input data (2)'!BI$126,'Input data (2)'!$BL$1-$A19,0),""))))</f>
        <v>264</v>
      </c>
      <c r="BQ33" s="1" t="str">
        <f ca="1">IF(AND('Input data (2)'!$C$2=4,$D19&gt;=0),OFFSET('Input data (2)'!BK$126,'Input data (2)'!$BL$1-$D19,0),IF(AND('Input data (2)'!$C$2=3,$C19&gt;=0),OFFSET('Input data (2)'!BK$126,'Input data (2)'!$BL$1-$C19,0),IF(AND('Input data (2)'!$C$2=2,$B19&gt;=0),OFFSET('Input data (2)'!BK$126,'Input data (2)'!$BL$1-$B19,0),IF(AND('Input data (2)'!$C$2=1,$A19&gt;=0),OFFSET('Input data (2)'!BK$126,'Input data (2)'!$BL$1-$A19,0),""))))</f>
        <v>..</v>
      </c>
      <c r="BR33" s="1">
        <f ca="1">IF(AND('Input data (2)'!$C$2=4,$D19&gt;=0),OFFSET('Input data (2)'!BJ$126,'Input data (2)'!$BL$1-$D19,0),IF(AND('Input data (2)'!$C$2=3,$C19&gt;=0),OFFSET('Input data (2)'!BJ$126,'Input data (2)'!$BL$1-$C19,0),IF(AND('Input data (2)'!$C$2=2,$B19&gt;=0),OFFSET('Input data (2)'!BJ$126,'Input data (2)'!$BL$1-$B19,0),IF(AND('Input data (2)'!$C$2=1,$A19&gt;=0),OFFSET('Input data (2)'!BJ$126,'Input data (2)'!$BL$1-$A19,0),""))))</f>
        <v>218</v>
      </c>
      <c r="BS33" s="1">
        <f ca="1">IF(AND('Input data (2)'!$C$2=4,$D19&gt;=0),OFFSET('Input data (2)'!BF$126,'Input data (2)'!$BL$1-$D19,0),IF(AND('Input data (2)'!$C$2=3,$C19&gt;=0),OFFSET('Input data (2)'!BF$126,'Input data (2)'!$BL$1-$C19,0),IF(AND('Input data (2)'!$C$2=2,$B19&gt;=0),OFFSET('Input data (2)'!BF$126,'Input data (2)'!$BL$1-$B19,0),IF(AND('Input data (2)'!$C$2=1,$A19&gt;=0),OFFSET('Input data (2)'!BF$126,'Input data (2)'!$BL$1-$A19,0),""))))</f>
        <v>30</v>
      </c>
      <c r="BT33" s="1">
        <f ca="1">IF(AND('Input data (2)'!$C$2=4,$D19&gt;=0),OFFSET('Input data (2)'!BD$126,'Input data (2)'!$BL$1-$D19,0),IF(AND('Input data (2)'!$C$2=3,$C19&gt;=0),OFFSET('Input data (2)'!BD$126,'Input data (2)'!$BL$1-$C19,0),IF(AND('Input data (2)'!$C$2=2,$B19&gt;=0),OFFSET('Input data (2)'!BD$126,'Input data (2)'!$BL$1-$B19,0),IF(AND('Input data (2)'!$C$2=1,$A19&gt;=0),OFFSET('Input data (2)'!BD$126,'Input data (2)'!$BL$1-$A19,0),""))))</f>
        <v>20</v>
      </c>
      <c r="BU33" s="1">
        <f ca="1">IF(AND('Input data (2)'!$C$2=4,$D19&gt;=0),OFFSET('Input data (2)'!BE$126,'Input data (2)'!$BL$1-$D19,0),IF(AND('Input data (2)'!$C$2=3,$C19&gt;=0),OFFSET('Input data (2)'!BE$126,'Input data (2)'!$BL$1-$C19,0),IF(AND('Input data (2)'!$C$2=2,$B19&gt;=0),OFFSET('Input data (2)'!BE$126,'Input data (2)'!$BL$1-$B19,0),IF(AND('Input data (2)'!$C$2=1,$A19&gt;=0),OFFSET('Input data (2)'!BE$126,'Input data (2)'!$BL$1-$A19,0),""))))</f>
        <v>10</v>
      </c>
      <c r="BW33" s="7">
        <f ca="1">IF(AND('Input data (2)'!$C$2=4,$D19&gt;=0),OFFSET('Input data (2)'!J$126,'Input data (2)'!$BL$1-$D19,0),IF(AND('Input data (2)'!$C$2=3,$C19&gt;=0),OFFSET('Input data (2)'!J$126,'Input data (2)'!$BL$1-$C19,0),IF(AND('Input data (2)'!$C$2=2,$B19&gt;=0),OFFSET('Input data (2)'!J$126,'Input data (2)'!$BL$1-$B19,0),IF(AND('Input data (2)'!$C$2=1,$A19&gt;=0),OFFSET('Input data (2)'!J$126,'Input data (2)'!$BL$1-$A19,0),""))))</f>
        <v>0.68471853147343009</v>
      </c>
      <c r="BX33" s="7">
        <f ca="1">IF(AND('Input data (2)'!$C$2=4,$D19&gt;=0),OFFSET('Input data (2)'!K$126,'Input data (2)'!$BL$1-$D19,0),IF(AND('Input data (2)'!$C$2=3,$C19&gt;=0),OFFSET('Input data (2)'!K$126,'Input data (2)'!$BL$1-$C19,0),IF(AND('Input data (2)'!$C$2=2,$B19&gt;=0),OFFSET('Input data (2)'!K$126,'Input data (2)'!$BL$1-$B19,0),IF(AND('Input data (2)'!$C$2=1,$A19&gt;=0),OFFSET('Input data (2)'!K$126,'Input data (2)'!$BL$1-$A19,0),""))))</f>
        <v>0.62809197338822897</v>
      </c>
      <c r="BY33" s="7">
        <f ca="1">IF(AND('Input data (2)'!$C$2=4,$D19&gt;=0),OFFSET('Input data (2)'!AS$126,'Input data (2)'!$BL$1-$D19,0),IF(AND('Input data (2)'!$C$2=3,$C19&gt;=0),OFFSET('Input data (2)'!AS$126,'Input data (2)'!$BL$1-$C19,0),IF(AND('Input data (2)'!$C$2=2,$B19&gt;=0),OFFSET('Input data (2)'!AS$126,'Input data (2)'!$BL$1-$B19,0),IF(AND('Input data (2)'!$C$2=1,$A19&gt;=0),OFFSET('Input data (2)'!AS$126,'Input data (2)'!$BL$1-$A19,0),""))))</f>
        <v>0.477268874506105</v>
      </c>
      <c r="BZ33" s="7">
        <f ca="1">IF(AND('Input data (2)'!$C$2=4,$D19&gt;=0),OFFSET('Input data (2)'!AT$126,'Input data (2)'!$BL$1-$D19,0),IF(AND('Input data (2)'!$C$2=3,$C19&gt;=0),OFFSET('Input data (2)'!AT$126,'Input data (2)'!$BL$1-$C19,0),IF(AND('Input data (2)'!$C$2=2,$B19&gt;=0),OFFSET('Input data (2)'!AT$126,'Input data (2)'!$BL$1-$B19,0),IF(AND('Input data (2)'!$C$2=1,$A19&gt;=0),OFFSET('Input data (2)'!AT$126,'Input data (2)'!$BL$1-$A19,0),""))))</f>
        <v>0.43510163268783569</v>
      </c>
      <c r="CB33" s="122"/>
      <c r="CC33" s="122"/>
      <c r="CD33" s="122"/>
      <c r="CE33" s="122"/>
      <c r="CG33" s="1">
        <v>11</v>
      </c>
      <c r="CI33" s="1">
        <f t="shared" ca="1" si="24"/>
        <v>2010</v>
      </c>
      <c r="CJ33" s="1" t="str">
        <f t="shared" si="25"/>
        <v>Q3</v>
      </c>
      <c r="CK33" s="1" t="str">
        <f t="shared" ca="1" si="12"/>
        <v>10</v>
      </c>
      <c r="CL33" s="1" t="str">
        <f t="shared" ca="1" si="13"/>
        <v>Q3 10</v>
      </c>
      <c r="CM33" s="1">
        <f ca="1">OFFSET('Input data (2)'!AJ$126,'Input data (2)'!$BL$1-'Output data - DO NOT TOUCH (2)'!$CG33,0)/1000</f>
        <v>14.154999999999999</v>
      </c>
      <c r="CN33" s="1">
        <f ca="1">OFFSET('Input data (2)'!AK$126,'Input data (2)'!$BL$1-'Output data - DO NOT TOUCH (2)'!$CG33,0)/1000</f>
        <v>12.379</v>
      </c>
      <c r="CO33" s="1" t="e">
        <f ca="1">OFFSET('Input data (2)'!AL$126,'Input data (2)'!$BL$1-'Output data - DO NOT TOUCH (2)'!$CG33,0)/1000</f>
        <v>#VALUE!</v>
      </c>
      <c r="CP33" s="1"/>
      <c r="CQ33" s="1">
        <f ca="1">OFFSET('Input data (2)'!AG$126,'Input data (2)'!$BL$1-'Output data - DO NOT TOUCH (2)'!$CG33,0)/1000</f>
        <v>1.1279999999999999</v>
      </c>
      <c r="CR33" s="1">
        <f ca="1">OFFSET('Input data (2)'!AH$126,'Input data (2)'!$BL$1-'Output data - DO NOT TOUCH (2)'!$CG33,0)/1000</f>
        <v>2.8410000000000002</v>
      </c>
      <c r="CS33" s="1">
        <f ca="1">OFFSET('Input data (2)'!AI$126,'Input data (2)'!$BL$1-'Output data - DO NOT TOUCH (2)'!$CG33,0)/1000</f>
        <v>3.9689999999999999</v>
      </c>
      <c r="CT33" s="1"/>
      <c r="CU33" s="1">
        <f ca="1">OFFSET('Input data (2)'!L$126,'Input data (2)'!$BL$1-'Output data - DO NOT TOUCH (2)'!$CG33,0)</f>
        <v>349</v>
      </c>
      <c r="CV33" s="1">
        <f ca="1">OFFSET('Input data (2)'!M$126,'Input data (2)'!$BL$1-'Output data - DO NOT TOUCH (2)'!$CG33,0)</f>
        <v>0</v>
      </c>
      <c r="CW33" s="67">
        <f ca="1">OFFSET('Input data (2)'!N$126,'Input data (2)'!$BL$1-'Output data - DO NOT TOUCH (2)'!$CG33,0)</f>
        <v>633</v>
      </c>
      <c r="CX33" s="1">
        <f ca="1">OFFSET('Input data (2)'!P$126,'Input data (2)'!$BL$1-'Output data - DO NOT TOUCH (2)'!$CG33,0)</f>
        <v>159</v>
      </c>
      <c r="CY33" s="1"/>
      <c r="CZ33" s="1">
        <f ca="1">OFFSET('Input data (2)'!AY$126,'Input data (2)'!$BL$1-'Output data - DO NOT TOUCH (2)'!$CG33,0)/1000</f>
        <v>3.0990000000000002</v>
      </c>
      <c r="DA33" s="1">
        <f ca="1">OFFSET('Input data (2)'!BA$126,'Input data (2)'!$BL$1-'Output data - DO NOT TOUCH (2)'!$CG33,0)/1000</f>
        <v>2.0760000000000001</v>
      </c>
      <c r="DB33" s="1">
        <f ca="1">OFFSET('Input data (2)'!BB$126,'Input data (2)'!$BL$1-'Output data - DO NOT TOUCH (2)'!$CG33,0)/1000</f>
        <v>5.1749999999999998</v>
      </c>
      <c r="DD33" s="1">
        <f ca="1">OFFSET('Input data (2)'!AN$126,'Input data (2)'!$BL$1-'Output data - DO NOT TOUCH (2)'!$CG33,0)</f>
        <v>154</v>
      </c>
      <c r="DE33" s="1">
        <f ca="1">OFFSET('Input data (2)'!AO$126,'Input data (2)'!$BL$1-'Output data - DO NOT TOUCH (2)'!$CG33,0)</f>
        <v>70</v>
      </c>
      <c r="DF33" s="1">
        <f ca="1">OFFSET('Input data (2)'!AP$126,'Input data (2)'!$BL$1-'Output data - DO NOT TOUCH (2)'!$CG33,0)</f>
        <v>224</v>
      </c>
      <c r="DG33" s="1"/>
      <c r="DH33" s="1">
        <f ca="1">OFFSET('Input data (2)'!AU$126,'Input data (2)'!$BL$1-'Output data - DO NOT TOUCH (2)'!$CG33,0)</f>
        <v>15</v>
      </c>
      <c r="DI33" s="1">
        <f ca="1">OFFSET('Input data (2)'!AV$126,'Input data (2)'!$BL$1-'Output data - DO NOT TOUCH (2)'!$CG33,0)</f>
        <v>1</v>
      </c>
      <c r="DJ33" s="1">
        <f ca="1">OFFSET('Input data (2)'!AW$126,'Input data (2)'!$BL$1-'Output data - DO NOT TOUCH (2)'!$CG33,0)</f>
        <v>43</v>
      </c>
      <c r="DK33" s="1">
        <f ca="1">OFFSET('Input data (2)'!AX$126,'Input data (2)'!$BL$1-'Output data - DO NOT TOUCH (2)'!$CG33,0)</f>
        <v>0</v>
      </c>
      <c r="DM33" s="1">
        <f ca="1">OFFSET('Input data (2)'!BI$126,'Input data (2)'!$BL$1-'Output data - DO NOT TOUCH (2)'!$CG33,0)</f>
        <v>290</v>
      </c>
      <c r="DN33" s="1">
        <f ca="1">OFFSET('Input data (2)'!BJ$126,'Input data (2)'!$BL$1-'Output data - DO NOT TOUCH (2)'!$CG33,0)</f>
        <v>261</v>
      </c>
      <c r="DO33" s="1">
        <f ca="1">OFFSET('Input data (2)'!BL$126,'Input data (2)'!$BL$1-'Output data - DO NOT TOUCH (2)'!$CG33,0)</f>
        <v>551</v>
      </c>
      <c r="DQ33" s="1">
        <f ca="1">OFFSET('Input data (2)'!BD$126,'Input data (2)'!$BL$1-'Output data - DO NOT TOUCH (2)'!$CG33,0)</f>
        <v>55</v>
      </c>
      <c r="DR33" s="1">
        <f ca="1">OFFSET('Input data (2)'!BE$126,'Input data (2)'!$BL$1-'Output data - DO NOT TOUCH (2)'!$CG33,0)</f>
        <v>24</v>
      </c>
      <c r="DS33" s="1">
        <f ca="1">OFFSET('Input data (2)'!BF$126,'Input data (2)'!$BL$1-'Output data - DO NOT TOUCH (2)'!$CG33,0)</f>
        <v>79</v>
      </c>
      <c r="DU33" s="1">
        <f ca="1">OFFSET('Input data (2)'!B$126,'Input data (2)'!$BL$1-'Output data - DO NOT TOUCH (2)'!$CG33-1,0)</f>
        <v>2010</v>
      </c>
      <c r="DV33" s="1" t="str">
        <f ca="1">OFFSET('Input data (2)'!C$126,'Input data (2)'!$BL$1-'Output data - DO NOT TOUCH (2)'!$CG33-1,0)</f>
        <v>Q2</v>
      </c>
      <c r="DW33" s="1" t="str">
        <f t="shared" ca="1" si="14"/>
        <v>10</v>
      </c>
      <c r="DX33" s="1" t="str">
        <f t="shared" ca="1" si="15"/>
        <v>Q2 10</v>
      </c>
      <c r="DY33" s="1">
        <f ca="1">OFFSET('Input data (2)'!W$126,'Input data (2)'!$BL$1-'Output data - DO NOT TOUCH (2)'!$CG33-1,0)/1000</f>
        <v>1.911</v>
      </c>
      <c r="DZ33" s="1">
        <f ca="1">OFFSET('Input data (2)'!Y$126,'Input data (2)'!$BL$1-'Output data - DO NOT TOUCH (2)'!$CG33-1,0)/1000</f>
        <v>13.071</v>
      </c>
      <c r="EA33" s="1">
        <f ca="1">OFFSET('Input data (2)'!Q$126,'Input data (2)'!$BL$1-'Output data - DO NOT TOUCH (2)'!$CG33-1,0)/1000</f>
        <v>14.981999999999999</v>
      </c>
    </row>
    <row r="34" spans="1:131" x14ac:dyDescent="0.15">
      <c r="A34" s="1">
        <v>10</v>
      </c>
      <c r="B34" s="1">
        <v>11</v>
      </c>
      <c r="C34" s="1">
        <v>12</v>
      </c>
      <c r="D34" s="1">
        <v>9</v>
      </c>
      <c r="CG34" s="1">
        <v>10</v>
      </c>
      <c r="CI34" s="1">
        <f t="shared" ca="1" si="24"/>
        <v>2010</v>
      </c>
      <c r="CJ34" s="1" t="str">
        <f t="shared" si="25"/>
        <v>Q4</v>
      </c>
      <c r="CK34" s="1" t="str">
        <f t="shared" ca="1" si="12"/>
        <v>10</v>
      </c>
      <c r="CL34" s="1" t="str">
        <f t="shared" ca="1" si="13"/>
        <v>Q4 10</v>
      </c>
      <c r="CM34" s="1">
        <f ca="1">OFFSET('Input data (2)'!AJ$126,'Input data (2)'!$BL$1-'Output data - DO NOT TOUCH (2)'!$CG34,0)/1000</f>
        <v>12.704000000000001</v>
      </c>
      <c r="CN34" s="1">
        <f ca="1">OFFSET('Input data (2)'!AK$126,'Input data (2)'!$BL$1-'Output data - DO NOT TOUCH (2)'!$CG34,0)/1000</f>
        <v>12.298999999999999</v>
      </c>
      <c r="CO34" s="1" t="e">
        <f ca="1">OFFSET('Input data (2)'!AL$126,'Input data (2)'!$BL$1-'Output data - DO NOT TOUCH (2)'!$CG34,0)/1000</f>
        <v>#VALUE!</v>
      </c>
      <c r="CP34" s="1"/>
      <c r="CQ34" s="1">
        <f ca="1">OFFSET('Input data (2)'!AG$126,'Input data (2)'!$BL$1-'Output data - DO NOT TOUCH (2)'!$CG34,0)/1000</f>
        <v>1.179</v>
      </c>
      <c r="CR34" s="1">
        <f ca="1">OFFSET('Input data (2)'!AH$126,'Input data (2)'!$BL$1-'Output data - DO NOT TOUCH (2)'!$CG34,0)/1000</f>
        <v>2.82</v>
      </c>
      <c r="CS34" s="1">
        <f ca="1">OFFSET('Input data (2)'!AI$126,'Input data (2)'!$BL$1-'Output data - DO NOT TOUCH (2)'!$CG34,0)/1000</f>
        <v>3.9990000000000001</v>
      </c>
      <c r="CT34" s="1"/>
      <c r="CU34" s="1">
        <f ca="1">OFFSET('Input data (2)'!L$126,'Input data (2)'!$BL$1-'Output data - DO NOT TOUCH (2)'!$CG34,0)</f>
        <v>302</v>
      </c>
      <c r="CV34" s="1">
        <f ca="1">OFFSET('Input data (2)'!M$126,'Input data (2)'!$BL$1-'Output data - DO NOT TOUCH (2)'!$CG34,0)</f>
        <v>0</v>
      </c>
      <c r="CW34" s="67">
        <f ca="1">OFFSET('Input data (2)'!N$126,'Input data (2)'!$BL$1-'Output data - DO NOT TOUCH (2)'!$CG34,0)</f>
        <v>642</v>
      </c>
      <c r="CX34" s="1">
        <f ca="1">OFFSET('Input data (2)'!P$126,'Input data (2)'!$BL$1-'Output data - DO NOT TOUCH (2)'!$CG34,0)</f>
        <v>170</v>
      </c>
      <c r="CY34" s="1"/>
      <c r="CZ34" s="1">
        <f ca="1">OFFSET('Input data (2)'!AY$126,'Input data (2)'!$BL$1-'Output data - DO NOT TOUCH (2)'!$CG34,0)/1000</f>
        <v>2.5009999999999999</v>
      </c>
      <c r="DA34" s="1">
        <f ca="1">OFFSET('Input data (2)'!BA$126,'Input data (2)'!$BL$1-'Output data - DO NOT TOUCH (2)'!$CG34,0)/1000</f>
        <v>2.09</v>
      </c>
      <c r="DB34" s="1">
        <f ca="1">OFFSET('Input data (2)'!BB$126,'Input data (2)'!$BL$1-'Output data - DO NOT TOUCH (2)'!$CG34,0)/1000</f>
        <v>4.5910000000000002</v>
      </c>
      <c r="DD34" s="1">
        <f ca="1">OFFSET('Input data (2)'!AN$126,'Input data (2)'!$BL$1-'Output data - DO NOT TOUCH (2)'!$CG34,0)</f>
        <v>164</v>
      </c>
      <c r="DE34" s="1">
        <f ca="1">OFFSET('Input data (2)'!AO$126,'Input data (2)'!$BL$1-'Output data - DO NOT TOUCH (2)'!$CG34,0)</f>
        <v>81</v>
      </c>
      <c r="DF34" s="1">
        <f ca="1">OFFSET('Input data (2)'!AP$126,'Input data (2)'!$BL$1-'Output data - DO NOT TOUCH (2)'!$CG34,0)</f>
        <v>245</v>
      </c>
      <c r="DG34" s="1"/>
      <c r="DH34" s="1">
        <f ca="1">OFFSET('Input data (2)'!AU$126,'Input data (2)'!$BL$1-'Output data - DO NOT TOUCH (2)'!$CG34,0)</f>
        <v>6</v>
      </c>
      <c r="DI34" s="1">
        <f ca="1">OFFSET('Input data (2)'!AV$126,'Input data (2)'!$BL$1-'Output data - DO NOT TOUCH (2)'!$CG34,0)</f>
        <v>0</v>
      </c>
      <c r="DJ34" s="1">
        <f ca="1">OFFSET('Input data (2)'!AW$126,'Input data (2)'!$BL$1-'Output data - DO NOT TOUCH (2)'!$CG34,0)</f>
        <v>55</v>
      </c>
      <c r="DK34" s="1">
        <f ca="1">OFFSET('Input data (2)'!AX$126,'Input data (2)'!$BL$1-'Output data - DO NOT TOUCH (2)'!$CG34,0)</f>
        <v>4</v>
      </c>
      <c r="DM34" s="1">
        <f ca="1">OFFSET('Input data (2)'!BI$126,'Input data (2)'!$BL$1-'Output data - DO NOT TOUCH (2)'!$CG34,0)</f>
        <v>352</v>
      </c>
      <c r="DN34" s="1">
        <f ca="1">OFFSET('Input data (2)'!BJ$126,'Input data (2)'!$BL$1-'Output data - DO NOT TOUCH (2)'!$CG34,0)</f>
        <v>230</v>
      </c>
      <c r="DO34" s="1">
        <f ca="1">OFFSET('Input data (2)'!BL$126,'Input data (2)'!$BL$1-'Output data - DO NOT TOUCH (2)'!$CG34,0)</f>
        <v>582</v>
      </c>
      <c r="DQ34" s="1">
        <f ca="1">OFFSET('Input data (2)'!BD$126,'Input data (2)'!$BL$1-'Output data - DO NOT TOUCH (2)'!$CG34,0)</f>
        <v>54</v>
      </c>
      <c r="DR34" s="1">
        <f ca="1">OFFSET('Input data (2)'!BE$126,'Input data (2)'!$BL$1-'Output data - DO NOT TOUCH (2)'!$CG34,0)</f>
        <v>31</v>
      </c>
      <c r="DS34" s="1">
        <f ca="1">OFFSET('Input data (2)'!BF$126,'Input data (2)'!$BL$1-'Output data - DO NOT TOUCH (2)'!$CG34,0)</f>
        <v>85</v>
      </c>
      <c r="DU34" s="1">
        <f ca="1">OFFSET('Input data (2)'!B$126,'Input data (2)'!$BL$1-'Output data - DO NOT TOUCH (2)'!$CG34-1,0)</f>
        <v>2010</v>
      </c>
      <c r="DV34" s="1" t="str">
        <f ca="1">OFFSET('Input data (2)'!C$126,'Input data (2)'!$BL$1-'Output data - DO NOT TOUCH (2)'!$CG34-1,0)</f>
        <v>Q3</v>
      </c>
      <c r="DW34" s="1" t="str">
        <f t="shared" ca="1" si="14"/>
        <v>10</v>
      </c>
      <c r="DX34" s="1" t="str">
        <f t="shared" ca="1" si="15"/>
        <v>Q3 10</v>
      </c>
      <c r="DY34" s="1">
        <f ca="1">OFFSET('Input data (2)'!W$126,'Input data (2)'!$BL$1-'Output data - DO NOT TOUCH (2)'!$CG34-1,0)/1000</f>
        <v>1.65</v>
      </c>
      <c r="DZ34" s="1">
        <f ca="1">OFFSET('Input data (2)'!Y$126,'Input data (2)'!$BL$1-'Output data - DO NOT TOUCH (2)'!$CG34-1,0)/1000</f>
        <v>12.257</v>
      </c>
      <c r="EA34" s="1">
        <f ca="1">OFFSET('Input data (2)'!Q$126,'Input data (2)'!$BL$1-'Output data - DO NOT TOUCH (2)'!$CG34-1,0)/1000</f>
        <v>13.907</v>
      </c>
    </row>
    <row r="35" spans="1:131" x14ac:dyDescent="0.15">
      <c r="A35" s="1">
        <v>9</v>
      </c>
      <c r="B35" s="1">
        <v>10</v>
      </c>
      <c r="C35" s="1">
        <v>11</v>
      </c>
      <c r="D35" s="1">
        <v>8</v>
      </c>
      <c r="E35" s="1" t="str">
        <f>F35&amp;G35</f>
        <v>2007Q1</v>
      </c>
      <c r="F35" s="1">
        <f>F30+1</f>
        <v>2007</v>
      </c>
      <c r="G35" s="1" t="s">
        <v>1</v>
      </c>
      <c r="H35" s="1">
        <f>VLOOKUP($E35,'Input data (2)'!$A:$BL,'Output data - DO NOT TOUCH (2)'!H$71,FALSE)</f>
        <v>3274</v>
      </c>
      <c r="I35" s="1">
        <f>VLOOKUP($E35,'Input data (2)'!$A:$BL,'Output data - DO NOT TOUCH (2)'!I$71,FALSE)</f>
        <v>1384</v>
      </c>
      <c r="J35" s="1">
        <f>VLOOKUP($E35,'Input data (2)'!$A:$BL,'Output data - DO NOT TOUCH (2)'!J$71,FALSE)</f>
        <v>1890</v>
      </c>
      <c r="K35" s="1">
        <f>VLOOKUP($E35,'Input data (2)'!$A:$BL,'Output data - DO NOT TOUCH (2)'!K$71,FALSE)</f>
        <v>3163</v>
      </c>
      <c r="L35" s="1">
        <f>VLOOKUP($E35,'Input data (2)'!$A:$BL,'Output data - DO NOT TOUCH (2)'!L$71,FALSE)</f>
        <v>1353</v>
      </c>
      <c r="M35" s="1">
        <f>VLOOKUP($E35,'Input data (2)'!$A:$BL,'Output data - DO NOT TOUCH (2)'!M$71,FALSE)</f>
        <v>1810</v>
      </c>
      <c r="O35" s="119">
        <f ca="1">IF(AND('Input data (2)'!$C$2=4,$D20&gt;=0),OFFSET('Input data (2)'!O$126,'Input data (2)'!$BL$1-$D20,0),IF(AND('Input data (2)'!$C$2=3,$C20&gt;=0),OFFSET('Input data (2)'!O$126,'Input data (2)'!$BL$1-$C20,0),IF(AND('Input data (2)'!$C$2=2,$B20&gt;=0),OFFSET('Input data (2)'!O$126,'Input data (2)'!$BL$1-$B20,0),IF(AND('Input data (2)'!$C$2=1,$A20&gt;=0),OFFSET('Input data (2)'!O$126,'Input data (2)'!$BL$1-$A20,0),""))))</f>
        <v>276</v>
      </c>
      <c r="Q35" s="1">
        <f ca="1">IF(AND('Input data (2)'!$C$2=4,$D20&gt;=0),OFFSET('Input data (2)'!AC$126,'Input data (2)'!$BL$1-$D20,0),IF(AND('Input data (2)'!$C$2=3,$C20&gt;=0),OFFSET('Input data (2)'!AC$126,'Input data (2)'!$BL$1-$C20,0),IF(AND('Input data (2)'!$C$2=2,$B20&gt;=0),OFFSET('Input data (2)'!AC$126,'Input data (2)'!$BL$1-$B20,0),IF(AND('Input data (2)'!$C$2=1,$A20&gt;=0),OFFSET('Input data (2)'!AC$126,'Input data (2)'!$BL$1-$A20,0),""))))</f>
        <v>29236</v>
      </c>
      <c r="R35" s="1">
        <f ca="1">IF(AND('Input data (2)'!$C$2=4,$D20&gt;=0),OFFSET('Input data (2)'!Q$126,'Input data (2)'!$BL$1-$D20,0),IF(AND('Input data (2)'!$C$2=3,$C20&gt;=0),OFFSET('Input data (2)'!Q$126,'Input data (2)'!$BL$1-$C20,0),IF(AND('Input data (2)'!$C$2=2,$B20&gt;=0),OFFSET('Input data (2)'!Q$126,'Input data (2)'!$BL$1-$B20,0),IF(AND('Input data (2)'!$C$2=1,$A20&gt;=0),OFFSET('Input data (2)'!Q$126,'Input data (2)'!$BL$1-$A20,0),""))))</f>
        <v>17937</v>
      </c>
      <c r="S35" s="1" t="str">
        <f ca="1">IF(AND('Input data (2)'!$C$2=4,$D20&gt;=0),OFFSET('Input data (2)'!R$126,'Input data (2)'!$BL$1-$D20,0),IF(AND('Input data (2)'!$C$2=3,$C20&gt;=0),OFFSET('Input data (2)'!R$126,'Input data (2)'!$BL$1-$C20,0),IF(AND('Input data (2)'!$C$2=2,$B20&gt;=0),OFFSET('Input data (2)'!R$126,'Input data (2)'!$BL$1-$B20,0),IF(AND('Input data (2)'!$C$2=1,$A20&gt;=0),OFFSET('Input data (2)'!R$126,'Input data (2)'!$BL$1-$A20,0),""))))</f>
        <v>:</v>
      </c>
      <c r="T35" s="1">
        <f ca="1">IF(AND('Input data (2)'!$C$2=4,$D20&gt;=0),OFFSET('Input data (2)'!AA$126,'Input data (2)'!$BL$1-$D20,0),IF(AND('Input data (2)'!$C$2=3,$C20&gt;=0),OFFSET('Input data (2)'!AA$126,'Input data (2)'!$BL$1-$C20,0),IF(AND('Input data (2)'!$C$2=2,$B20&gt;=0),OFFSET('Input data (2)'!AA$126,'Input data (2)'!$BL$1-$B20,0),IF(AND('Input data (2)'!$C$2=1,$A20&gt;=0),OFFSET('Input data (2)'!AA$126,'Input data (2)'!$BL$1-$A20,0),""))))</f>
        <v>11299</v>
      </c>
      <c r="U35" s="1">
        <f ca="1">IF(AND('Input data (2)'!$C$2=4,$D20&gt;=0),OFFSET('Input data (2)'!AL$126,'Input data (2)'!$BL$1-$D20,0),IF(AND('Input data (2)'!$C$2=3,$C20&gt;=0),OFFSET('Input data (2)'!AL$126,'Input data (2)'!$BL$1-$C20,0),IF(AND('Input data (2)'!$C$2=2,$B20&gt;=0),OFFSET('Input data (2)'!AL$126,'Input data (2)'!$BL$1-$B20,0),IF(AND('Input data (2)'!$C$2=1,$A20&gt;=0),OFFSET('Input data (2)'!AL$126,'Input data (2)'!$BL$1-$A20,0),""))))</f>
        <v>29196</v>
      </c>
      <c r="V35" s="1">
        <f ca="1">IF(AND('Input data (2)'!$C$2=4,$D20&gt;=0),OFFSET('Input data (2)'!AJ$126,'Input data (2)'!$BL$1-$D20,0),IF(AND('Input data (2)'!$C$2=3,$C20&gt;=0),OFFSET('Input data (2)'!AJ$126,'Input data (2)'!$BL$1-$C20,0),IF(AND('Input data (2)'!$C$2=2,$B20&gt;=0),OFFSET('Input data (2)'!AJ$126,'Input data (2)'!$BL$1-$B20,0),IF(AND('Input data (2)'!$C$2=1,$A20&gt;=0),OFFSET('Input data (2)'!AJ$126,'Input data (2)'!$BL$1-$A20,0),""))))</f>
        <v>16742</v>
      </c>
      <c r="W35" s="1">
        <f ca="1">IF(AND('Input data (2)'!$C$2=4,$D20&gt;=0),OFFSET('Input data (2)'!AK$126,'Input data (2)'!$BL$1-$D20,0),IF(AND('Input data (2)'!$C$2=3,$C20&gt;=0),OFFSET('Input data (2)'!AK$126,'Input data (2)'!$BL$1-$C20,0),IF(AND('Input data (2)'!$C$2=2,$B20&gt;=0),OFFSET('Input data (2)'!AK$126,'Input data (2)'!$BL$1-$B20,0),IF(AND('Input data (2)'!$C$2=1,$A20&gt;=0),OFFSET('Input data (2)'!AK$126,'Input data (2)'!$BL$1-$A20,0),""))))</f>
        <v>12454</v>
      </c>
      <c r="Y35" s="1">
        <f ca="1">IF(AND('Input data (2)'!$C$2=4,$D20&gt;=0),OFFSET('Input data (2)'!Q$126,'Input data (2)'!$BL$1-$D20,0),IF(AND('Input data (2)'!$C$2=3,$C20&gt;=0),OFFSET('Input data (2)'!Q$126,'Input data (2)'!$BL$1-$C20,0),IF(AND('Input data (2)'!$C$2=2,$B20&gt;=0),OFFSET('Input data (2)'!Q$126,'Input data (2)'!$BL$1-$B20,0),IF(AND('Input data (2)'!$C$2=1,$A20&gt;=0),OFFSET('Input data (2)'!Q$126,'Input data (2)'!$BL$1-$A20,0),""))))</f>
        <v>17937</v>
      </c>
      <c r="Z35" s="1">
        <f ca="1">IF(AND('Input data (2)'!$C$2=4,$D20&gt;=0),OFFSET('Input data (2)'!S$126,'Input data (2)'!$BL$1-$D20,0),IF(AND('Input data (2)'!$C$2=3,$C20&gt;=0),OFFSET('Input data (2)'!S$126,'Input data (2)'!$BL$1-$C20,0),IF(AND('Input data (2)'!$C$2=2,$B20&gt;=0),OFFSET('Input data (2)'!S$126,'Input data (2)'!$BL$1-$B20,0),IF(AND('Input data (2)'!$C$2=1,$A20&gt;=0),OFFSET('Input data (2)'!S$126,'Input data (2)'!$BL$1-$A20,0),""))))</f>
        <v>15356</v>
      </c>
      <c r="AA35" s="1">
        <f ca="1">IF(AND('Input data (2)'!$C$2=4,$D20&gt;=0),OFFSET('Input data (2)'!T$126,'Input data (2)'!$BL$1-$D20,0),IF(AND('Input data (2)'!$C$2=3,$C20&gt;=0),OFFSET('Input data (2)'!T$126,'Input data (2)'!$BL$1-$C20,0),IF(AND('Input data (2)'!$C$2=2,$B20&gt;=0),OFFSET('Input data (2)'!T$126,'Input data (2)'!$BL$1-$B20,0),IF(AND('Input data (2)'!$C$2=1,$A20&gt;=0),OFFSET('Input data (2)'!T$126,'Input data (2)'!$BL$1-$A20,0),""))))</f>
        <v>85.610748731671961</v>
      </c>
      <c r="AB35" s="1">
        <f ca="1">IF(AND('Input data (2)'!$C$2=4,$D20&gt;=0),OFFSET('Input data (2)'!U$126,'Input data (2)'!$BL$1-$D20,0),IF(AND('Input data (2)'!$C$2=3,$C20&gt;=0),OFFSET('Input data (2)'!U$126,'Input data (2)'!$BL$1-$C20,0),IF(AND('Input data (2)'!$C$2=2,$B20&gt;=0),OFFSET('Input data (2)'!U$126,'Input data (2)'!$BL$1-$B20,0),IF(AND('Input data (2)'!$C$2=1,$A20&gt;=0),OFFSET('Input data (2)'!U$126,'Input data (2)'!$BL$1-$A20,0),""))))</f>
        <v>2581</v>
      </c>
      <c r="AC35" s="1">
        <f ca="1">IF(AND('Input data (2)'!$C$2=4,$D20&gt;=0),OFFSET('Input data (2)'!V$126,'Input data (2)'!$BL$1-$D20,0),IF(AND('Input data (2)'!$C$2=3,$C20&gt;=0),OFFSET('Input data (2)'!V$126,'Input data (2)'!$BL$1-$C20,0),IF(AND('Input data (2)'!$C$2=2,$B20&gt;=0),OFFSET('Input data (2)'!V$126,'Input data (2)'!$BL$1-$B20,0),IF(AND('Input data (2)'!$C$2=1,$A20&gt;=0),OFFSET('Input data (2)'!V$126,'Input data (2)'!$BL$1-$A20,0),""))))</f>
        <v>14.389251268328037</v>
      </c>
      <c r="AD35" s="1">
        <f ca="1">IF(AND('Input data (2)'!$C$2=4,$D20&gt;=0),OFFSET('Input data (2)'!Q$126,'Input data (2)'!$BL$1-$D20,0),IF(AND('Input data (2)'!$C$2=3,$C20&gt;=0),OFFSET('Input data (2)'!Q$126,'Input data (2)'!$BL$1-$C20,0),IF(AND('Input data (2)'!$C$2=2,$B20&gt;=0),OFFSET('Input data (2)'!Q$126,'Input data (2)'!$BL$1-$B20,0),IF(AND('Input data (2)'!$C$2=1,$A20&gt;=0),OFFSET('Input data (2)'!Q$126,'Input data (2)'!$BL$1-$A20,0),""))))</f>
        <v>17937</v>
      </c>
      <c r="AE35" s="1">
        <f ca="1">IF(AND('Input data (2)'!$C$2=4,$D20&gt;=0),OFFSET('Input data (2)'!W$126,'Input data (2)'!$BL$1-$D20,0),IF(AND('Input data (2)'!$C$2=3,$C20&gt;=0),OFFSET('Input data (2)'!W$126,'Input data (2)'!$BL$1-$C20,0),IF(AND('Input data (2)'!$C$2=2,$B20&gt;=0),OFFSET('Input data (2)'!W$126,'Input data (2)'!$BL$1-$B20,0),IF(AND('Input data (2)'!$C$2=1,$A20&gt;=0),OFFSET('Input data (2)'!W$126,'Input data (2)'!$BL$1-$A20,0),""))))</f>
        <v>1981</v>
      </c>
      <c r="AF35" s="1">
        <f ca="1">IF(AND('Input data (2)'!$C$2=4,$D20&gt;=0),OFFSET('Input data (2)'!X$126,'Input data (2)'!$BL$1-$D20,0),IF(AND('Input data (2)'!$C$2=3,$C20&gt;=0),OFFSET('Input data (2)'!X$126,'Input data (2)'!$BL$1-$C20,0),IF(AND('Input data (2)'!$C$2=2,$B20&gt;=0),OFFSET('Input data (2)'!X$126,'Input data (2)'!$BL$1-$B20,0),IF(AND('Input data (2)'!$C$2=1,$A20&gt;=0),OFFSET('Input data (2)'!X$126,'Input data (2)'!$BL$1-$A20,0),""))))</f>
        <v>11.044210291576071</v>
      </c>
      <c r="AG35" s="1">
        <f ca="1">IF(AND('Input data (2)'!$C$2=4,$D20&gt;=0),OFFSET('Input data (2)'!Y$126,'Input data (2)'!$BL$1-$D20,0),IF(AND('Input data (2)'!$C$2=3,$C20&gt;=0),OFFSET('Input data (2)'!Y$126,'Input data (2)'!$BL$1-$C20,0),IF(AND('Input data (2)'!$C$2=2,$B20&gt;=0),OFFSET('Input data (2)'!Y$126,'Input data (2)'!$BL$1-$B20,0),IF(AND('Input data (2)'!$C$2=1,$A20&gt;=0),OFFSET('Input data (2)'!Y$126,'Input data (2)'!$BL$1-$A20,0),""))))</f>
        <v>15956</v>
      </c>
      <c r="AH35" s="1">
        <f ca="1">IF(AND('Input data (2)'!$C$2=4,$D20&gt;=0),OFFSET('Input data (2)'!Z$126,'Input data (2)'!$BL$1-$D20,0),IF(AND('Input data (2)'!$C$2=3,$C20&gt;=0),OFFSET('Input data (2)'!Z$126,'Input data (2)'!$BL$1-$C20,0),IF(AND('Input data (2)'!$C$2=2,$B20&gt;=0),OFFSET('Input data (2)'!Z$126,'Input data (2)'!$BL$1-$B20,0),IF(AND('Input data (2)'!$C$2=1,$A20&gt;=0),OFFSET('Input data (2)'!Z$126,'Input data (2)'!$BL$1-$A20,0),""))))</f>
        <v>88.955789708423922</v>
      </c>
      <c r="AI35" s="3"/>
      <c r="AJ35" s="124">
        <f ca="1">IF(AND('Input data (2)'!$C$2=4,$D20&gt;=0),OFFSET('Input data (2)'!AF$126,'Input data (2)'!$BL$1-$D20,0),IF(AND('Input data (2)'!$C$2=3,$C20&gt;=0),OFFSET('Input data (2)'!AF$126,'Input data (2)'!$BL$1-$C20,0),IF(AND('Input data (2)'!$C$2=2,$B20&gt;=0),OFFSET('Input data (2)'!AF$126,'Input data (2)'!$BL$1-$B20,0),IF(AND('Input data (2)'!$C$2=1,$A20&gt;=0),OFFSET('Input data (2)'!AF$126,'Input data (2)'!$BL$1-$A20,0),""))))</f>
        <v>2483</v>
      </c>
      <c r="AK35" s="124">
        <f ca="1">IF(AND('Input data (2)'!$C$2=4,$D20&gt;=0),OFFSET('Input data (2)'!AD$126,'Input data (2)'!$BL$1-$D20,0),IF(AND('Input data (2)'!$C$2=3,$C20&gt;=0),OFFSET('Input data (2)'!AD$126,'Input data (2)'!$BL$1-$C20,0),IF(AND('Input data (2)'!$C$2=2,$B20&gt;=0),OFFSET('Input data (2)'!AD$126,'Input data (2)'!$BL$1-$B20,0),IF(AND('Input data (2)'!$C$2=1,$A20&gt;=0),OFFSET('Input data (2)'!AD$126,'Input data (2)'!$BL$1-$A20,0),""))))</f>
        <v>23</v>
      </c>
      <c r="AL35" s="124">
        <f ca="1">IF(AND('Input data (2)'!$C$2=4,$D20&gt;=0),OFFSET('Input data (2)'!AE$126,'Input data (2)'!$BL$1-$D20,0),IF(AND('Input data (2)'!$C$2=3,$C20&gt;=0),OFFSET('Input data (2)'!AE$126,'Input data (2)'!$BL$1-$C20,0),IF(AND('Input data (2)'!$C$2=2,$B20&gt;=0),OFFSET('Input data (2)'!AE$126,'Input data (2)'!$BL$1-$B20,0),IF(AND('Input data (2)'!$C$2=1,$A20&gt;=0),OFFSET('Input data (2)'!AE$126,'Input data (2)'!$BL$1-$A20,0),""))))</f>
        <v>2460</v>
      </c>
      <c r="AW35" s="1">
        <f ca="1">IF(AND('Input data (2)'!$C$2=4,$D20&gt;=0),OFFSET('Input data (2)'!L$126,'Input data (2)'!$BL$1-$D20,0),IF(AND('Input data (2)'!$C$2=3,$C20&gt;=0),OFFSET('Input data (2)'!L$126,'Input data (2)'!$BL$1-$C20,0),IF(AND('Input data (2)'!$C$2=2,$B20&gt;=0),OFFSET('Input data (2)'!L$126,'Input data (2)'!$BL$1-$B20,0),IF(AND('Input data (2)'!$C$2=1,$A20&gt;=0),OFFSET('Input data (2)'!L$126,'Input data (2)'!$BL$1-$A20,0),""))))</f>
        <v>88</v>
      </c>
      <c r="AX35" s="1">
        <f ca="1">IF(AND('Input data (2)'!$C$2=4,$D20&gt;=0),OFFSET('Input data (2)'!M$126,'Input data (2)'!$BL$1-$D20,0),IF(AND('Input data (2)'!$C$2=3,$C20&gt;=0),OFFSET('Input data (2)'!M$126,'Input data (2)'!$BL$1-$C20,0),IF(AND('Input data (2)'!$C$2=2,$B20&gt;=0),OFFSET('Input data (2)'!M$126,'Input data (2)'!$BL$1-$B20,0),IF(AND('Input data (2)'!$C$2=1,$A20&gt;=0),OFFSET('Input data (2)'!M$126,'Input data (2)'!$BL$1-$A20,0),""))))</f>
        <v>1</v>
      </c>
      <c r="AY35" s="1">
        <f ca="1">IF(AND('Input data (2)'!$C$2=4,$D20&gt;=0),OFFSET('Input data (2)'!N$126,'Input data (2)'!$BL$1-$D20,0),IF(AND('Input data (2)'!$C$2=3,$C20&gt;=0),OFFSET('Input data (2)'!N$126,'Input data (2)'!$BL$1-$C20,0),IF(AND('Input data (2)'!$C$2=2,$B20&gt;=0),OFFSET('Input data (2)'!N$126,'Input data (2)'!$BL$1-$B20,0),IF(AND('Input data (2)'!$C$2=1,$A20&gt;=0),OFFSET('Input data (2)'!N$126,'Input data (2)'!$BL$1-$A20,0),""))))</f>
        <v>683</v>
      </c>
      <c r="AZ35" s="1">
        <f ca="1">IF(AND('Input data (2)'!$C$2=4,$D20&gt;=0),OFFSET('Input data (2)'!P$126,'Input data (2)'!$BL$1-$D20,0),IF(AND('Input data (2)'!$C$2=3,$C20&gt;=0),OFFSET('Input data (2)'!P$126,'Input data (2)'!$BL$1-$C20,0),IF(AND('Input data (2)'!$C$2=2,$B20&gt;=0),OFFSET('Input data (2)'!P$126,'Input data (2)'!$BL$1-$B20,0),IF(AND('Input data (2)'!$C$2=1,$A20&gt;=0),OFFSET('Input data (2)'!P$126,'Input data (2)'!$BL$1-$A20,0),""))))</f>
        <v>96</v>
      </c>
      <c r="BB35" s="1">
        <f ca="1">IF(AND('Input data (2)'!$C$2=4,$D20&gt;=0),OFFSET('Input data (2)'!BB$126,'Input data (2)'!$BL$1-$D20,0),IF(AND('Input data (2)'!$C$2=3,$C20&gt;=0),OFFSET('Input data (2)'!BB$126,'Input data (2)'!$BL$1-$C20,0),IF(AND('Input data (2)'!$C$2=2,$B20&gt;=0),OFFSET('Input data (2)'!BB$126,'Input data (2)'!$BL$1-$B20,0),IF(AND('Input data (2)'!$C$2=1,$A20&gt;=0),OFFSET('Input data (2)'!BB$126,'Input data (2)'!$BL$1-$A20,0),""))))</f>
        <v>3581</v>
      </c>
      <c r="BC35" s="1">
        <f ca="1">IF(AND('Input data (2)'!$C$2=4,$D20&gt;=0),OFFSET('Input data (2)'!AY$126,'Input data (2)'!$BL$1-$D20,0),IF(AND('Input data (2)'!$C$2=3,$C20&gt;=0),OFFSET('Input data (2)'!AY$126,'Input data (2)'!$BL$1-$C20,0),IF(AND('Input data (2)'!$C$2=2,$B20&gt;=0),OFFSET('Input data (2)'!AY$126,'Input data (2)'!$BL$1-$B20,0),IF(AND('Input data (2)'!$C$2=1,$A20&gt;=0),OFFSET('Input data (2)'!AY$126,'Input data (2)'!$BL$1-$A20,0),""))))</f>
        <v>1617</v>
      </c>
      <c r="BD35" s="1" t="str">
        <f ca="1">IF(AND('Input data (2)'!$C$2=4,$D20&gt;=0),OFFSET('Input data (2)'!AZ$126,'Input data (2)'!$BL$1-$D20,0),IF(AND('Input data (2)'!$C$2=3,$C20&gt;=0),OFFSET('Input data (2)'!AZ$126,'Input data (2)'!$BL$1-$C20,0),IF(AND('Input data (2)'!$C$2=2,$B20&gt;=0),OFFSET('Input data (2)'!AZ$126,'Input data (2)'!$BL$1-$B20,0),IF(AND('Input data (2)'!$C$2=1,$A20&gt;=0),OFFSET('Input data (2)'!AZ$126,'Input data (2)'!$BL$1-$A20,0),""))))</f>
        <v>:</v>
      </c>
      <c r="BE35" s="1">
        <f ca="1">IF(AND('Input data (2)'!$C$2=4,$D20&gt;=0),OFFSET('Input data (2)'!BA$126,'Input data (2)'!$BL$1-$D20,0),IF(AND('Input data (2)'!$C$2=3,$C20&gt;=0),OFFSET('Input data (2)'!BA$126,'Input data (2)'!$BL$1-$C20,0),IF(AND('Input data (2)'!$C$2=2,$B20&gt;=0),OFFSET('Input data (2)'!BA$126,'Input data (2)'!$BL$1-$B20,0),IF(AND('Input data (2)'!$C$2=1,$A20&gt;=0),OFFSET('Input data (2)'!BA$126,'Input data (2)'!$BL$1-$A20,0),""))))</f>
        <v>1964</v>
      </c>
      <c r="BF35" s="1">
        <f ca="1">IF(AND('Input data (2)'!$C$2=4,$D20&gt;=0),OFFSET('Input data (2)'!AP$126,'Input data (2)'!$BL$1-$D20,0),IF(AND('Input data (2)'!$C$2=3,$C20&gt;=0),OFFSET('Input data (2)'!AP$126,'Input data (2)'!$BL$1-$C20,0),IF(AND('Input data (2)'!$C$2=2,$B20&gt;=0),OFFSET('Input data (2)'!AP$126,'Input data (2)'!$BL$1-$B20,0),IF(AND('Input data (2)'!$C$2=1,$A20&gt;=0),OFFSET('Input data (2)'!AP$126,'Input data (2)'!$BL$1-$A20,0),""))))</f>
        <v>166</v>
      </c>
      <c r="BG35" s="1">
        <f ca="1">IF(AND('Input data (2)'!$C$2=4,$D20&gt;=0),OFFSET('Input data (2)'!AN$126,'Input data (2)'!$BL$1-$D20,0),IF(AND('Input data (2)'!$C$2=3,$C20&gt;=0),OFFSET('Input data (2)'!AN$126,'Input data (2)'!$BL$1-$C20,0),IF(AND('Input data (2)'!$C$2=2,$B20&gt;=0),OFFSET('Input data (2)'!AN$126,'Input data (2)'!$BL$1-$B20,0),IF(AND('Input data (2)'!$C$2=1,$A20&gt;=0),OFFSET('Input data (2)'!AN$126,'Input data (2)'!$BL$1-$A20,0),""))))</f>
        <v>132</v>
      </c>
      <c r="BH35" s="1">
        <f ca="1">IF(AND('Input data (2)'!$C$2=4,$D20&gt;=0),OFFSET('Input data (2)'!AO$126,'Input data (2)'!$BL$1-$D20,0),IF(AND('Input data (2)'!$C$2=3,$C20&gt;=0),OFFSET('Input data (2)'!AO$126,'Input data (2)'!$BL$1-$C20,0),IF(AND('Input data (2)'!$C$2=2,$B20&gt;=0),OFFSET('Input data (2)'!AO$126,'Input data (2)'!$BL$1-$B20,0),IF(AND('Input data (2)'!$C$2=1,$A20&gt;=0),OFFSET('Input data (2)'!AO$126,'Input data (2)'!$BL$1-$A20,0),""))))</f>
        <v>34</v>
      </c>
      <c r="BJ35" s="1">
        <f ca="1">IF(AND('Input data (2)'!$C$2=4,$D20&gt;=0),OFFSET('Input data (2)'!AU$126,'Input data (2)'!$BL$1-$D20,0),IF(AND('Input data (2)'!$C$2=3,$C20&gt;=0),OFFSET('Input data (2)'!AU$126,'Input data (2)'!$BL$1-$C20,0),IF(AND('Input data (2)'!$C$2=2,$B20&gt;=0),OFFSET('Input data (2)'!AU$126,'Input data (2)'!$BL$1-$B20,0),IF(AND('Input data (2)'!$C$2=1,$A20&gt;=0),OFFSET('Input data (2)'!AU$126,'Input data (2)'!$BL$1-$A20,0),""))))</f>
        <v>9</v>
      </c>
      <c r="BK35" s="1">
        <f ca="1">IF(AND('Input data (2)'!$C$2=4,$D20&gt;=0),OFFSET('Input data (2)'!AV$126,'Input data (2)'!$BL$1-$D20,0),IF(AND('Input data (2)'!$C$2=3,$C20&gt;=0),OFFSET('Input data (2)'!AV$126,'Input data (2)'!$BL$1-$C20,0),IF(AND('Input data (2)'!$C$2=2,$B20&gt;=0),OFFSET('Input data (2)'!AV$126,'Input data (2)'!$BL$1-$B20,0),IF(AND('Input data (2)'!$C$2=1,$A20&gt;=0),OFFSET('Input data (2)'!AV$126,'Input data (2)'!$BL$1-$A20,0),""))))</f>
        <v>0</v>
      </c>
      <c r="BL35" s="1">
        <f ca="1">IF(AND('Input data (2)'!$C$2=4,$D20&gt;=0),OFFSET('Input data (2)'!AW$126,'Input data (2)'!$BL$1-$D20,0),IF(AND('Input data (2)'!$C$2=3,$C20&gt;=0),OFFSET('Input data (2)'!AW$126,'Input data (2)'!$BL$1-$C20,0),IF(AND('Input data (2)'!$C$2=2,$B20&gt;=0),OFFSET('Input data (2)'!AW$126,'Input data (2)'!$BL$1-$B20,0),IF(AND('Input data (2)'!$C$2=1,$A20&gt;=0),OFFSET('Input data (2)'!AW$126,'Input data (2)'!$BL$1-$A20,0),""))))</f>
        <v>15</v>
      </c>
      <c r="BM35" s="1">
        <f ca="1">IF(AND('Input data (2)'!$C$2=4,$D20&gt;=0),OFFSET('Input data (2)'!AX$126,'Input data (2)'!$BL$1-$D20,0),IF(AND('Input data (2)'!$C$2=3,$C20&gt;=0),OFFSET('Input data (2)'!AX$126,'Input data (2)'!$BL$1-$C20,0),IF(AND('Input data (2)'!$C$2=2,$B20&gt;=0),OFFSET('Input data (2)'!AX$126,'Input data (2)'!$BL$1-$B20,0),IF(AND('Input data (2)'!$C$2=1,$A20&gt;=0),OFFSET('Input data (2)'!AX$126,'Input data (2)'!$BL$1-$A20,0),""))))</f>
        <v>2</v>
      </c>
      <c r="BO35" s="1">
        <f ca="1">IF(AND('Input data (2)'!$C$2=4,$D20&gt;=0),OFFSET('Input data (2)'!BL$126,'Input data (2)'!$BL$1-$D20,0),IF(AND('Input data (2)'!$C$2=3,$C20&gt;=0),OFFSET('Input data (2)'!BL$126,'Input data (2)'!$BL$1-$C20,0),IF(AND('Input data (2)'!$C$2=2,$B20&gt;=0),OFFSET('Input data (2)'!BL$126,'Input data (2)'!$BL$1-$B20,0),IF(AND('Input data (2)'!$C$2=1,$A20&gt;=0),OFFSET('Input data (2)'!BL$126,'Input data (2)'!$BL$1-$A20,0),""))))</f>
        <v>343</v>
      </c>
      <c r="BP35" s="1">
        <f ca="1">IF(AND('Input data (2)'!$C$2=4,$D20&gt;=0),OFFSET('Input data (2)'!BI$126,'Input data (2)'!$BL$1-$D20,0),IF(AND('Input data (2)'!$C$2=3,$C20&gt;=0),OFFSET('Input data (2)'!BI$126,'Input data (2)'!$BL$1-$C20,0),IF(AND('Input data (2)'!$C$2=2,$B20&gt;=0),OFFSET('Input data (2)'!BI$126,'Input data (2)'!$BL$1-$B20,0),IF(AND('Input data (2)'!$C$2=1,$A20&gt;=0),OFFSET('Input data (2)'!BI$126,'Input data (2)'!$BL$1-$A20,0),""))))</f>
        <v>218</v>
      </c>
      <c r="BQ35" s="1" t="str">
        <f ca="1">IF(AND('Input data (2)'!$C$2=4,$D20&gt;=0),OFFSET('Input data (2)'!BK$126,'Input data (2)'!$BL$1-$D20,0),IF(AND('Input data (2)'!$C$2=3,$C20&gt;=0),OFFSET('Input data (2)'!BK$126,'Input data (2)'!$BL$1-$C20,0),IF(AND('Input data (2)'!$C$2=2,$B20&gt;=0),OFFSET('Input data (2)'!BK$126,'Input data (2)'!$BL$1-$B20,0),IF(AND('Input data (2)'!$C$2=1,$A20&gt;=0),OFFSET('Input data (2)'!BK$126,'Input data (2)'!$BL$1-$A20,0),""))))</f>
        <v>..</v>
      </c>
      <c r="BR35" s="1">
        <f ca="1">IF(AND('Input data (2)'!$C$2=4,$D20&gt;=0),OFFSET('Input data (2)'!BJ$126,'Input data (2)'!$BL$1-$D20,0),IF(AND('Input data (2)'!$C$2=3,$C20&gt;=0),OFFSET('Input data (2)'!BJ$126,'Input data (2)'!$BL$1-$C20,0),IF(AND('Input data (2)'!$C$2=2,$B20&gt;=0),OFFSET('Input data (2)'!BJ$126,'Input data (2)'!$BL$1-$B20,0),IF(AND('Input data (2)'!$C$2=1,$A20&gt;=0),OFFSET('Input data (2)'!BJ$126,'Input data (2)'!$BL$1-$A20,0),""))))</f>
        <v>125</v>
      </c>
      <c r="BS35" s="1">
        <f ca="1">IF(AND('Input data (2)'!$C$2=4,$D20&gt;=0),OFFSET('Input data (2)'!BF$126,'Input data (2)'!$BL$1-$D20,0),IF(AND('Input data (2)'!$C$2=3,$C20&gt;=0),OFFSET('Input data (2)'!BF$126,'Input data (2)'!$BL$1-$C20,0),IF(AND('Input data (2)'!$C$2=2,$B20&gt;=0),OFFSET('Input data (2)'!BF$126,'Input data (2)'!$BL$1-$B20,0),IF(AND('Input data (2)'!$C$2=1,$A20&gt;=0),OFFSET('Input data (2)'!BF$126,'Input data (2)'!$BL$1-$A20,0),""))))</f>
        <v>36</v>
      </c>
      <c r="BT35" s="1">
        <f ca="1">IF(AND('Input data (2)'!$C$2=4,$D20&gt;=0),OFFSET('Input data (2)'!BD$126,'Input data (2)'!$BL$1-$D20,0),IF(AND('Input data (2)'!$C$2=3,$C20&gt;=0),OFFSET('Input data (2)'!BD$126,'Input data (2)'!$BL$1-$C20,0),IF(AND('Input data (2)'!$C$2=2,$B20&gt;=0),OFFSET('Input data (2)'!BD$126,'Input data (2)'!$BL$1-$B20,0),IF(AND('Input data (2)'!$C$2=1,$A20&gt;=0),OFFSET('Input data (2)'!BD$126,'Input data (2)'!$BL$1-$A20,0),""))))</f>
        <v>29</v>
      </c>
      <c r="BU35" s="1">
        <f ca="1">IF(AND('Input data (2)'!$C$2=4,$D20&gt;=0),OFFSET('Input data (2)'!BE$126,'Input data (2)'!$BL$1-$D20,0),IF(AND('Input data (2)'!$C$2=3,$C20&gt;=0),OFFSET('Input data (2)'!BE$126,'Input data (2)'!$BL$1-$C20,0),IF(AND('Input data (2)'!$C$2=2,$B20&gt;=0),OFFSET('Input data (2)'!BE$126,'Input data (2)'!$BL$1-$B20,0),IF(AND('Input data (2)'!$C$2=1,$A20&gt;=0),OFFSET('Input data (2)'!BE$126,'Input data (2)'!$BL$1-$A20,0),""))))</f>
        <v>7</v>
      </c>
      <c r="BW35" s="7">
        <f ca="1">IF(AND('Input data (2)'!$C$2=4,$D20&gt;=0),OFFSET('Input data (2)'!J$126,'Input data (2)'!$BL$1-$D20,0),IF(AND('Input data (2)'!$C$2=3,$C20&gt;=0),OFFSET('Input data (2)'!J$126,'Input data (2)'!$BL$1-$C20,0),IF(AND('Input data (2)'!$C$2=2,$B20&gt;=0),OFFSET('Input data (2)'!J$126,'Input data (2)'!$BL$1-$B20,0),IF(AND('Input data (2)'!$C$2=1,$A20&gt;=0),OFFSET('Input data (2)'!J$126,'Input data (2)'!$BL$1-$A20,0),""))))</f>
        <v>0.65957123337514723</v>
      </c>
      <c r="BX35" s="7">
        <f ca="1">IF(AND('Input data (2)'!$C$2=4,$D20&gt;=0),OFFSET('Input data (2)'!K$126,'Input data (2)'!$BL$1-$D20,0),IF(AND('Input data (2)'!$C$2=3,$C20&gt;=0),OFFSET('Input data (2)'!K$126,'Input data (2)'!$BL$1-$C20,0),IF(AND('Input data (2)'!$C$2=2,$B20&gt;=0),OFFSET('Input data (2)'!K$126,'Input data (2)'!$BL$1-$B20,0),IF(AND('Input data (2)'!$C$2=1,$A20&gt;=0),OFFSET('Input data (2)'!K$126,'Input data (2)'!$BL$1-$A20,0),""))))</f>
        <v>0.60509900408144557</v>
      </c>
      <c r="BY35" s="7">
        <f ca="1">IF(AND('Input data (2)'!$C$2=4,$D20&gt;=0),OFFSET('Input data (2)'!AS$126,'Input data (2)'!$BL$1-$D20,0),IF(AND('Input data (2)'!$C$2=3,$C20&gt;=0),OFFSET('Input data (2)'!AS$126,'Input data (2)'!$BL$1-$C20,0),IF(AND('Input data (2)'!$C$2=2,$B20&gt;=0),OFFSET('Input data (2)'!AS$126,'Input data (2)'!$BL$1-$B20,0),IF(AND('Input data (2)'!$C$2=1,$A20&gt;=0),OFFSET('Input data (2)'!AS$126,'Input data (2)'!$BL$1-$A20,0),""))))</f>
        <v>0.50111120912642737</v>
      </c>
      <c r="BZ35" s="7">
        <f ca="1">IF(AND('Input data (2)'!$C$2=4,$D20&gt;=0),OFFSET('Input data (2)'!AT$126,'Input data (2)'!$BL$1-$D20,0),IF(AND('Input data (2)'!$C$2=3,$C20&gt;=0),OFFSET('Input data (2)'!AT$126,'Input data (2)'!$BL$1-$C20,0),IF(AND('Input data (2)'!$C$2=2,$B20&gt;=0),OFFSET('Input data (2)'!AT$126,'Input data (2)'!$BL$1-$B20,0),IF(AND('Input data (2)'!$C$2=1,$A20&gt;=0),OFFSET('Input data (2)'!AT$126,'Input data (2)'!$BL$1-$A20,0),""))))</f>
        <v>0.45705476092220726</v>
      </c>
      <c r="CB35" s="122"/>
      <c r="CC35" s="122"/>
      <c r="CD35" s="122"/>
      <c r="CE35" s="122"/>
      <c r="CG35" s="1">
        <v>9</v>
      </c>
      <c r="CI35" s="1">
        <f t="shared" ca="1" si="24"/>
        <v>2011</v>
      </c>
      <c r="CJ35" s="1" t="str">
        <f t="shared" si="25"/>
        <v>Q1</v>
      </c>
      <c r="CK35" s="1" t="str">
        <f t="shared" ca="1" si="12"/>
        <v>11</v>
      </c>
      <c r="CL35" s="1" t="str">
        <f t="shared" ca="1" si="13"/>
        <v>Q1 11</v>
      </c>
      <c r="CM35" s="1">
        <f ca="1">OFFSET('Input data (2)'!AJ$126,'Input data (2)'!$BL$1-'Output data - DO NOT TOUCH (2)'!$CG35,0)/1000</f>
        <v>11.754</v>
      </c>
      <c r="CN35" s="1">
        <f ca="1">OFFSET('Input data (2)'!AK$126,'Input data (2)'!$BL$1-'Output data - DO NOT TOUCH (2)'!$CG35,0)/1000</f>
        <v>11.657</v>
      </c>
      <c r="CO35" s="1" t="e">
        <f ca="1">OFFSET('Input data (2)'!AL$126,'Input data (2)'!$BL$1-'Output data - DO NOT TOUCH (2)'!$CG35,0)/1000</f>
        <v>#VALUE!</v>
      </c>
      <c r="CP35" s="1"/>
      <c r="CQ35" s="1">
        <f ca="1">OFFSET('Input data (2)'!AG$126,'Input data (2)'!$BL$1-'Output data - DO NOT TOUCH (2)'!$CG35,0)/1000</f>
        <v>1.0860000000000001</v>
      </c>
      <c r="CR35" s="1">
        <f ca="1">OFFSET('Input data (2)'!AH$126,'Input data (2)'!$BL$1-'Output data - DO NOT TOUCH (2)'!$CG35,0)/1000</f>
        <v>3.0230000000000001</v>
      </c>
      <c r="CS35" s="1">
        <f ca="1">OFFSET('Input data (2)'!AI$126,'Input data (2)'!$BL$1-'Output data - DO NOT TOUCH (2)'!$CG35,0)/1000</f>
        <v>4.109</v>
      </c>
      <c r="CT35" s="1"/>
      <c r="CU35" s="1">
        <f ca="1">OFFSET('Input data (2)'!L$126,'Input data (2)'!$BL$1-'Output data - DO NOT TOUCH (2)'!$CG35,0)</f>
        <v>349</v>
      </c>
      <c r="CV35" s="1">
        <f ca="1">OFFSET('Input data (2)'!M$126,'Input data (2)'!$BL$1-'Output data - DO NOT TOUCH (2)'!$CG35,0)</f>
        <v>0</v>
      </c>
      <c r="CW35" s="67">
        <f ca="1">OFFSET('Input data (2)'!N$126,'Input data (2)'!$BL$1-'Output data - DO NOT TOUCH (2)'!$CG35,0)</f>
        <v>782</v>
      </c>
      <c r="CX35" s="1">
        <f ca="1">OFFSET('Input data (2)'!P$126,'Input data (2)'!$BL$1-'Output data - DO NOT TOUCH (2)'!$CG35,0)</f>
        <v>183</v>
      </c>
      <c r="CY35" s="1"/>
      <c r="CZ35" s="1">
        <f ca="1">OFFSET('Input data (2)'!AY$126,'Input data (2)'!$BL$1-'Output data - DO NOT TOUCH (2)'!$CG35,0)/1000</f>
        <v>2.698</v>
      </c>
      <c r="DA35" s="1">
        <f ca="1">OFFSET('Input data (2)'!BA$126,'Input data (2)'!$BL$1-'Output data - DO NOT TOUCH (2)'!$CG35,0)/1000</f>
        <v>1.575</v>
      </c>
      <c r="DB35" s="1">
        <f ca="1">OFFSET('Input data (2)'!BB$126,'Input data (2)'!$BL$1-'Output data - DO NOT TOUCH (2)'!$CG35,0)/1000</f>
        <v>4.2729999999999997</v>
      </c>
      <c r="DD35" s="1">
        <f ca="1">OFFSET('Input data (2)'!AN$126,'Input data (2)'!$BL$1-'Output data - DO NOT TOUCH (2)'!$CG35,0)</f>
        <v>208</v>
      </c>
      <c r="DE35" s="1">
        <f ca="1">OFFSET('Input data (2)'!AO$126,'Input data (2)'!$BL$1-'Output data - DO NOT TOUCH (2)'!$CG35,0)</f>
        <v>71</v>
      </c>
      <c r="DF35" s="1">
        <f ca="1">OFFSET('Input data (2)'!AP$126,'Input data (2)'!$BL$1-'Output data - DO NOT TOUCH (2)'!$CG35,0)</f>
        <v>279</v>
      </c>
      <c r="DG35" s="1"/>
      <c r="DH35" s="1">
        <f ca="1">OFFSET('Input data (2)'!AU$126,'Input data (2)'!$BL$1-'Output data - DO NOT TOUCH (2)'!$CG35,0)</f>
        <v>15</v>
      </c>
      <c r="DI35" s="1">
        <f ca="1">OFFSET('Input data (2)'!AV$126,'Input data (2)'!$BL$1-'Output data - DO NOT TOUCH (2)'!$CG35,0)</f>
        <v>0</v>
      </c>
      <c r="DJ35" s="1">
        <f ca="1">OFFSET('Input data (2)'!AW$126,'Input data (2)'!$BL$1-'Output data - DO NOT TOUCH (2)'!$CG35,0)</f>
        <v>57</v>
      </c>
      <c r="DK35" s="1">
        <f ca="1">OFFSET('Input data (2)'!AX$126,'Input data (2)'!$BL$1-'Output data - DO NOT TOUCH (2)'!$CG35,0)</f>
        <v>3</v>
      </c>
      <c r="DM35" s="1">
        <f ca="1">OFFSET('Input data (2)'!BI$126,'Input data (2)'!$BL$1-'Output data - DO NOT TOUCH (2)'!$CG35,0)</f>
        <v>451</v>
      </c>
      <c r="DN35" s="1">
        <f ca="1">OFFSET('Input data (2)'!BJ$126,'Input data (2)'!$BL$1-'Output data - DO NOT TOUCH (2)'!$CG35,0)</f>
        <v>241</v>
      </c>
      <c r="DO35" s="1">
        <f ca="1">OFFSET('Input data (2)'!BL$126,'Input data (2)'!$BL$1-'Output data - DO NOT TOUCH (2)'!$CG35,0)</f>
        <v>692</v>
      </c>
      <c r="DQ35" s="1">
        <f ca="1">OFFSET('Input data (2)'!BD$126,'Input data (2)'!$BL$1-'Output data - DO NOT TOUCH (2)'!$CG35,0)</f>
        <v>61</v>
      </c>
      <c r="DR35" s="1">
        <f ca="1">OFFSET('Input data (2)'!BE$126,'Input data (2)'!$BL$1-'Output data - DO NOT TOUCH (2)'!$CG35,0)</f>
        <v>33</v>
      </c>
      <c r="DS35" s="1">
        <f ca="1">OFFSET('Input data (2)'!BF$126,'Input data (2)'!$BL$1-'Output data - DO NOT TOUCH (2)'!$CG35,0)</f>
        <v>94</v>
      </c>
      <c r="DU35" s="1">
        <f ca="1">OFFSET('Input data (2)'!B$126,'Input data (2)'!$BL$1-'Output data - DO NOT TOUCH (2)'!$CG35-1,0)</f>
        <v>2010</v>
      </c>
      <c r="DV35" s="1" t="str">
        <f ca="1">OFFSET('Input data (2)'!C$126,'Input data (2)'!$BL$1-'Output data - DO NOT TOUCH (2)'!$CG35-1,0)</f>
        <v>Q4</v>
      </c>
      <c r="DW35" s="1" t="str">
        <f t="shared" ca="1" si="14"/>
        <v>10</v>
      </c>
      <c r="DX35" s="1" t="str">
        <f t="shared" ca="1" si="15"/>
        <v>Q4 10</v>
      </c>
      <c r="DY35" s="1">
        <f ca="1">OFFSET('Input data (2)'!W$126,'Input data (2)'!$BL$1-'Output data - DO NOT TOUCH (2)'!$CG35-1,0)/1000</f>
        <v>2.2749999999999999</v>
      </c>
      <c r="DZ35" s="1">
        <f ca="1">OFFSET('Input data (2)'!Y$126,'Input data (2)'!$BL$1-'Output data - DO NOT TOUCH (2)'!$CG35-1,0)/1000</f>
        <v>9.7530000000000001</v>
      </c>
      <c r="EA35" s="1">
        <f ca="1">OFFSET('Input data (2)'!Q$126,'Input data (2)'!$BL$1-'Output data - DO NOT TOUCH (2)'!$CG35-1,0)/1000</f>
        <v>12.028</v>
      </c>
    </row>
    <row r="36" spans="1:131" x14ac:dyDescent="0.15">
      <c r="A36" s="1">
        <v>8</v>
      </c>
      <c r="B36" s="1">
        <v>9</v>
      </c>
      <c r="C36" s="1">
        <v>10</v>
      </c>
      <c r="D36" s="1">
        <v>7</v>
      </c>
      <c r="E36" s="1" t="str">
        <f>F36&amp;G36</f>
        <v>2007Q2</v>
      </c>
      <c r="F36" s="1">
        <f>F31+1</f>
        <v>2007</v>
      </c>
      <c r="G36" s="1" t="s">
        <v>2</v>
      </c>
      <c r="H36" s="1">
        <f>VLOOKUP($E36,'Input data (2)'!$A:$BL,'Output data - DO NOT TOUCH (2)'!H$71,FALSE)</f>
        <v>3191</v>
      </c>
      <c r="I36" s="1">
        <f>VLOOKUP($E36,'Input data (2)'!$A:$BL,'Output data - DO NOT TOUCH (2)'!I$71,FALSE)</f>
        <v>1399</v>
      </c>
      <c r="J36" s="1">
        <f>VLOOKUP($E36,'Input data (2)'!$A:$BL,'Output data - DO NOT TOUCH (2)'!J$71,FALSE)</f>
        <v>1792</v>
      </c>
      <c r="K36" s="1">
        <f>VLOOKUP($E36,'Input data (2)'!$A:$BL,'Output data - DO NOT TOUCH (2)'!K$71,FALSE)</f>
        <v>3157</v>
      </c>
      <c r="L36" s="1">
        <f>VLOOKUP($E36,'Input data (2)'!$A:$BL,'Output data - DO NOT TOUCH (2)'!L$71,FALSE)</f>
        <v>1380</v>
      </c>
      <c r="M36" s="1">
        <f>VLOOKUP($E36,'Input data (2)'!$A:$BL,'Output data - DO NOT TOUCH (2)'!M$71,FALSE)</f>
        <v>1777</v>
      </c>
      <c r="O36" s="119">
        <f ca="1">IF(AND('Input data (2)'!$C$2=4,$D21&gt;=0),OFFSET('Input data (2)'!O$126,'Input data (2)'!$BL$1-$D21,0),IF(AND('Input data (2)'!$C$2=3,$C21&gt;=0),OFFSET('Input data (2)'!O$126,'Input data (2)'!$BL$1-$C21,0),IF(AND('Input data (2)'!$C$2=2,$B21&gt;=0),OFFSET('Input data (2)'!O$126,'Input data (2)'!$BL$1-$B21,0),IF(AND('Input data (2)'!$C$2=1,$A21&gt;=0),OFFSET('Input data (2)'!O$126,'Input data (2)'!$BL$1-$A21,0),""))))</f>
        <v>285</v>
      </c>
      <c r="Q36" s="1">
        <f ca="1">IF(AND('Input data (2)'!$C$2=4,$D21&gt;=0),OFFSET('Input data (2)'!AC$126,'Input data (2)'!$BL$1-$D21,0),IF(AND('Input data (2)'!$C$2=3,$C21&gt;=0),OFFSET('Input data (2)'!AC$126,'Input data (2)'!$BL$1-$C21,0),IF(AND('Input data (2)'!$C$2=2,$B21&gt;=0),OFFSET('Input data (2)'!AC$126,'Input data (2)'!$BL$1-$B21,0),IF(AND('Input data (2)'!$C$2=1,$A21&gt;=0),OFFSET('Input data (2)'!AC$126,'Input data (2)'!$BL$1-$A21,0),""))))</f>
        <v>27327</v>
      </c>
      <c r="R36" s="1">
        <f ca="1">IF(AND('Input data (2)'!$C$2=4,$D21&gt;=0),OFFSET('Input data (2)'!Q$126,'Input data (2)'!$BL$1-$D21,0),IF(AND('Input data (2)'!$C$2=3,$C21&gt;=0),OFFSET('Input data (2)'!Q$126,'Input data (2)'!$BL$1-$C21,0),IF(AND('Input data (2)'!$C$2=2,$B21&gt;=0),OFFSET('Input data (2)'!Q$126,'Input data (2)'!$BL$1-$B21,0),IF(AND('Input data (2)'!$C$2=1,$A21&gt;=0),OFFSET('Input data (2)'!Q$126,'Input data (2)'!$BL$1-$A21,0),""))))</f>
        <v>16489</v>
      </c>
      <c r="S36" s="1" t="str">
        <f ca="1">IF(AND('Input data (2)'!$C$2=4,$D21&gt;=0),OFFSET('Input data (2)'!R$126,'Input data (2)'!$BL$1-$D21,0),IF(AND('Input data (2)'!$C$2=3,$C21&gt;=0),OFFSET('Input data (2)'!R$126,'Input data (2)'!$BL$1-$C21,0),IF(AND('Input data (2)'!$C$2=2,$B21&gt;=0),OFFSET('Input data (2)'!R$126,'Input data (2)'!$BL$1-$B21,0),IF(AND('Input data (2)'!$C$2=1,$A21&gt;=0),OFFSET('Input data (2)'!R$126,'Input data (2)'!$BL$1-$A21,0),""))))</f>
        <v>:</v>
      </c>
      <c r="T36" s="1">
        <f ca="1">IF(AND('Input data (2)'!$C$2=4,$D21&gt;=0),OFFSET('Input data (2)'!AA$126,'Input data (2)'!$BL$1-$D21,0),IF(AND('Input data (2)'!$C$2=3,$C21&gt;=0),OFFSET('Input data (2)'!AA$126,'Input data (2)'!$BL$1-$C21,0),IF(AND('Input data (2)'!$C$2=2,$B21&gt;=0),OFFSET('Input data (2)'!AA$126,'Input data (2)'!$BL$1-$B21,0),IF(AND('Input data (2)'!$C$2=1,$A21&gt;=0),OFFSET('Input data (2)'!AA$126,'Input data (2)'!$BL$1-$A21,0),""))))</f>
        <v>10838</v>
      </c>
      <c r="U36" s="1">
        <f ca="1">IF(AND('Input data (2)'!$C$2=4,$D21&gt;=0),OFFSET('Input data (2)'!AL$126,'Input data (2)'!$BL$1-$D21,0),IF(AND('Input data (2)'!$C$2=3,$C21&gt;=0),OFFSET('Input data (2)'!AL$126,'Input data (2)'!$BL$1-$C21,0),IF(AND('Input data (2)'!$C$2=2,$B21&gt;=0),OFFSET('Input data (2)'!AL$126,'Input data (2)'!$BL$1-$B21,0),IF(AND('Input data (2)'!$C$2=1,$A21&gt;=0),OFFSET('Input data (2)'!AL$126,'Input data (2)'!$BL$1-$A21,0),""))))</f>
        <v>26995</v>
      </c>
      <c r="V36" s="1">
        <f ca="1">IF(AND('Input data (2)'!$C$2=4,$D21&gt;=0),OFFSET('Input data (2)'!AJ$126,'Input data (2)'!$BL$1-$D21,0),IF(AND('Input data (2)'!$C$2=3,$C21&gt;=0),OFFSET('Input data (2)'!AJ$126,'Input data (2)'!$BL$1-$C21,0),IF(AND('Input data (2)'!$C$2=2,$B21&gt;=0),OFFSET('Input data (2)'!AJ$126,'Input data (2)'!$BL$1-$B21,0),IF(AND('Input data (2)'!$C$2=1,$A21&gt;=0),OFFSET('Input data (2)'!AJ$126,'Input data (2)'!$BL$1-$A21,0),""))))</f>
        <v>16493</v>
      </c>
      <c r="W36" s="1">
        <f ca="1">IF(AND('Input data (2)'!$C$2=4,$D21&gt;=0),OFFSET('Input data (2)'!AK$126,'Input data (2)'!$BL$1-$D21,0),IF(AND('Input data (2)'!$C$2=3,$C21&gt;=0),OFFSET('Input data (2)'!AK$126,'Input data (2)'!$BL$1-$C21,0),IF(AND('Input data (2)'!$C$2=2,$B21&gt;=0),OFFSET('Input data (2)'!AK$126,'Input data (2)'!$BL$1-$B21,0),IF(AND('Input data (2)'!$C$2=1,$A21&gt;=0),OFFSET('Input data (2)'!AK$126,'Input data (2)'!$BL$1-$A21,0),""))))</f>
        <v>10502</v>
      </c>
      <c r="Y36" s="1">
        <f ca="1">IF(AND('Input data (2)'!$C$2=4,$D21&gt;=0),OFFSET('Input data (2)'!Q$126,'Input data (2)'!$BL$1-$D21,0),IF(AND('Input data (2)'!$C$2=3,$C21&gt;=0),OFFSET('Input data (2)'!Q$126,'Input data (2)'!$BL$1-$C21,0),IF(AND('Input data (2)'!$C$2=2,$B21&gt;=0),OFFSET('Input data (2)'!Q$126,'Input data (2)'!$BL$1-$B21,0),IF(AND('Input data (2)'!$C$2=1,$A21&gt;=0),OFFSET('Input data (2)'!Q$126,'Input data (2)'!$BL$1-$A21,0),""))))</f>
        <v>16489</v>
      </c>
      <c r="Z36" s="1">
        <f ca="1">IF(AND('Input data (2)'!$C$2=4,$D21&gt;=0),OFFSET('Input data (2)'!S$126,'Input data (2)'!$BL$1-$D21,0),IF(AND('Input data (2)'!$C$2=3,$C21&gt;=0),OFFSET('Input data (2)'!S$126,'Input data (2)'!$BL$1-$C21,0),IF(AND('Input data (2)'!$C$2=2,$B21&gt;=0),OFFSET('Input data (2)'!S$126,'Input data (2)'!$BL$1-$B21,0),IF(AND('Input data (2)'!$C$2=1,$A21&gt;=0),OFFSET('Input data (2)'!S$126,'Input data (2)'!$BL$1-$A21,0),""))))</f>
        <v>13923</v>
      </c>
      <c r="AA36" s="1">
        <f ca="1">IF(AND('Input data (2)'!$C$2=4,$D21&gt;=0),OFFSET('Input data (2)'!T$126,'Input data (2)'!$BL$1-$D21,0),IF(AND('Input data (2)'!$C$2=3,$C21&gt;=0),OFFSET('Input data (2)'!T$126,'Input data (2)'!$BL$1-$C21,0),IF(AND('Input data (2)'!$C$2=2,$B21&gt;=0),OFFSET('Input data (2)'!T$126,'Input data (2)'!$BL$1-$B21,0),IF(AND('Input data (2)'!$C$2=1,$A21&gt;=0),OFFSET('Input data (2)'!T$126,'Input data (2)'!$BL$1-$A21,0),""))))</f>
        <v>84.438110255321732</v>
      </c>
      <c r="AB36" s="1">
        <f ca="1">IF(AND('Input data (2)'!$C$2=4,$D21&gt;=0),OFFSET('Input data (2)'!U$126,'Input data (2)'!$BL$1-$D21,0),IF(AND('Input data (2)'!$C$2=3,$C21&gt;=0),OFFSET('Input data (2)'!U$126,'Input data (2)'!$BL$1-$C21,0),IF(AND('Input data (2)'!$C$2=2,$B21&gt;=0),OFFSET('Input data (2)'!U$126,'Input data (2)'!$BL$1-$B21,0),IF(AND('Input data (2)'!$C$2=1,$A21&gt;=0),OFFSET('Input data (2)'!U$126,'Input data (2)'!$BL$1-$A21,0),""))))</f>
        <v>2566</v>
      </c>
      <c r="AC36" s="1">
        <f ca="1">IF(AND('Input data (2)'!$C$2=4,$D21&gt;=0),OFFSET('Input data (2)'!V$126,'Input data (2)'!$BL$1-$D21,0),IF(AND('Input data (2)'!$C$2=3,$C21&gt;=0),OFFSET('Input data (2)'!V$126,'Input data (2)'!$BL$1-$C21,0),IF(AND('Input data (2)'!$C$2=2,$B21&gt;=0),OFFSET('Input data (2)'!V$126,'Input data (2)'!$BL$1-$B21,0),IF(AND('Input data (2)'!$C$2=1,$A21&gt;=0),OFFSET('Input data (2)'!V$126,'Input data (2)'!$BL$1-$A21,0),""))))</f>
        <v>15.56188974467827</v>
      </c>
      <c r="AD36" s="1">
        <f ca="1">IF(AND('Input data (2)'!$C$2=4,$D21&gt;=0),OFFSET('Input data (2)'!Q$126,'Input data (2)'!$BL$1-$D21,0),IF(AND('Input data (2)'!$C$2=3,$C21&gt;=0),OFFSET('Input data (2)'!Q$126,'Input data (2)'!$BL$1-$C21,0),IF(AND('Input data (2)'!$C$2=2,$B21&gt;=0),OFFSET('Input data (2)'!Q$126,'Input data (2)'!$BL$1-$B21,0),IF(AND('Input data (2)'!$C$2=1,$A21&gt;=0),OFFSET('Input data (2)'!Q$126,'Input data (2)'!$BL$1-$A21,0),""))))</f>
        <v>16489</v>
      </c>
      <c r="AE36" s="1">
        <f ca="1">IF(AND('Input data (2)'!$C$2=4,$D21&gt;=0),OFFSET('Input data (2)'!W$126,'Input data (2)'!$BL$1-$D21,0),IF(AND('Input data (2)'!$C$2=3,$C21&gt;=0),OFFSET('Input data (2)'!W$126,'Input data (2)'!$BL$1-$C21,0),IF(AND('Input data (2)'!$C$2=2,$B21&gt;=0),OFFSET('Input data (2)'!W$126,'Input data (2)'!$BL$1-$B21,0),IF(AND('Input data (2)'!$C$2=1,$A21&gt;=0),OFFSET('Input data (2)'!W$126,'Input data (2)'!$BL$1-$A21,0),""))))</f>
        <v>1767</v>
      </c>
      <c r="AF36" s="1">
        <f ca="1">IF(AND('Input data (2)'!$C$2=4,$D21&gt;=0),OFFSET('Input data (2)'!X$126,'Input data (2)'!$BL$1-$D21,0),IF(AND('Input data (2)'!$C$2=3,$C21&gt;=0),OFFSET('Input data (2)'!X$126,'Input data (2)'!$BL$1-$C21,0),IF(AND('Input data (2)'!$C$2=2,$B21&gt;=0),OFFSET('Input data (2)'!X$126,'Input data (2)'!$BL$1-$B21,0),IF(AND('Input data (2)'!$C$2=1,$A21&gt;=0),OFFSET('Input data (2)'!X$126,'Input data (2)'!$BL$1-$A21,0),""))))</f>
        <v>10.716235065801444</v>
      </c>
      <c r="AG36" s="1">
        <f ca="1">IF(AND('Input data (2)'!$C$2=4,$D21&gt;=0),OFFSET('Input data (2)'!Y$126,'Input data (2)'!$BL$1-$D21,0),IF(AND('Input data (2)'!$C$2=3,$C21&gt;=0),OFFSET('Input data (2)'!Y$126,'Input data (2)'!$BL$1-$C21,0),IF(AND('Input data (2)'!$C$2=2,$B21&gt;=0),OFFSET('Input data (2)'!Y$126,'Input data (2)'!$BL$1-$B21,0),IF(AND('Input data (2)'!$C$2=1,$A21&gt;=0),OFFSET('Input data (2)'!Y$126,'Input data (2)'!$BL$1-$A21,0),""))))</f>
        <v>14722</v>
      </c>
      <c r="AH36" s="1">
        <f ca="1">IF(AND('Input data (2)'!$C$2=4,$D21&gt;=0),OFFSET('Input data (2)'!Z$126,'Input data (2)'!$BL$1-$D21,0),IF(AND('Input data (2)'!$C$2=3,$C21&gt;=0),OFFSET('Input data (2)'!Z$126,'Input data (2)'!$BL$1-$C21,0),IF(AND('Input data (2)'!$C$2=2,$B21&gt;=0),OFFSET('Input data (2)'!Z$126,'Input data (2)'!$BL$1-$B21,0),IF(AND('Input data (2)'!$C$2=1,$A21&gt;=0),OFFSET('Input data (2)'!Z$126,'Input data (2)'!$BL$1-$A21,0),""))))</f>
        <v>89.283764934198558</v>
      </c>
      <c r="AI36" s="3"/>
      <c r="AJ36" s="124">
        <f ca="1">IF(AND('Input data (2)'!$C$2=4,$D21&gt;=0),OFFSET('Input data (2)'!AF$126,'Input data (2)'!$BL$1-$D21,0),IF(AND('Input data (2)'!$C$2=3,$C21&gt;=0),OFFSET('Input data (2)'!AF$126,'Input data (2)'!$BL$1-$C21,0),IF(AND('Input data (2)'!$C$2=2,$B21&gt;=0),OFFSET('Input data (2)'!AF$126,'Input data (2)'!$BL$1-$B21,0),IF(AND('Input data (2)'!$C$2=1,$A21&gt;=0),OFFSET('Input data (2)'!AF$126,'Input data (2)'!$BL$1-$A21,0),""))))</f>
        <v>2895</v>
      </c>
      <c r="AK36" s="124">
        <f ca="1">IF(AND('Input data (2)'!$C$2=4,$D21&gt;=0),OFFSET('Input data (2)'!AD$126,'Input data (2)'!$BL$1-$D21,0),IF(AND('Input data (2)'!$C$2=3,$C21&gt;=0),OFFSET('Input data (2)'!AD$126,'Input data (2)'!$BL$1-$C21,0),IF(AND('Input data (2)'!$C$2=2,$B21&gt;=0),OFFSET('Input data (2)'!AD$126,'Input data (2)'!$BL$1-$B21,0),IF(AND('Input data (2)'!$C$2=1,$A21&gt;=0),OFFSET('Input data (2)'!AD$126,'Input data (2)'!$BL$1-$A21,0),""))))</f>
        <v>27</v>
      </c>
      <c r="AL36" s="124">
        <f ca="1">IF(AND('Input data (2)'!$C$2=4,$D21&gt;=0),OFFSET('Input data (2)'!AE$126,'Input data (2)'!$BL$1-$D21,0),IF(AND('Input data (2)'!$C$2=3,$C21&gt;=0),OFFSET('Input data (2)'!AE$126,'Input data (2)'!$BL$1-$C21,0),IF(AND('Input data (2)'!$C$2=2,$B21&gt;=0),OFFSET('Input data (2)'!AE$126,'Input data (2)'!$BL$1-$B21,0),IF(AND('Input data (2)'!$C$2=1,$A21&gt;=0),OFFSET('Input data (2)'!AE$126,'Input data (2)'!$BL$1-$A21,0),""))))</f>
        <v>2868</v>
      </c>
      <c r="AW36" s="1">
        <f ca="1">IF(AND('Input data (2)'!$C$2=4,$D21&gt;=0),OFFSET('Input data (2)'!L$126,'Input data (2)'!$BL$1-$D21,0),IF(AND('Input data (2)'!$C$2=3,$C21&gt;=0),OFFSET('Input data (2)'!L$126,'Input data (2)'!$BL$1-$C21,0),IF(AND('Input data (2)'!$C$2=2,$B21&gt;=0),OFFSET('Input data (2)'!L$126,'Input data (2)'!$BL$1-$B21,0),IF(AND('Input data (2)'!$C$2=1,$A21&gt;=0),OFFSET('Input data (2)'!L$126,'Input data (2)'!$BL$1-$A21,0),""))))</f>
        <v>77</v>
      </c>
      <c r="AX36" s="1">
        <f ca="1">IF(AND('Input data (2)'!$C$2=4,$D21&gt;=0),OFFSET('Input data (2)'!M$126,'Input data (2)'!$BL$1-$D21,0),IF(AND('Input data (2)'!$C$2=3,$C21&gt;=0),OFFSET('Input data (2)'!M$126,'Input data (2)'!$BL$1-$C21,0),IF(AND('Input data (2)'!$C$2=2,$B21&gt;=0),OFFSET('Input data (2)'!M$126,'Input data (2)'!$BL$1-$B21,0),IF(AND('Input data (2)'!$C$2=1,$A21&gt;=0),OFFSET('Input data (2)'!M$126,'Input data (2)'!$BL$1-$A21,0),""))))</f>
        <v>0</v>
      </c>
      <c r="AY36" s="1">
        <f ca="1">IF(AND('Input data (2)'!$C$2=4,$D21&gt;=0),OFFSET('Input data (2)'!N$126,'Input data (2)'!$BL$1-$D21,0),IF(AND('Input data (2)'!$C$2=3,$C21&gt;=0),OFFSET('Input data (2)'!N$126,'Input data (2)'!$BL$1-$C21,0),IF(AND('Input data (2)'!$C$2=2,$B21&gt;=0),OFFSET('Input data (2)'!N$126,'Input data (2)'!$BL$1-$B21,0),IF(AND('Input data (2)'!$C$2=1,$A21&gt;=0),OFFSET('Input data (2)'!N$126,'Input data (2)'!$BL$1-$A21,0),""))))</f>
        <v>585</v>
      </c>
      <c r="AZ36" s="1">
        <f ca="1">IF(AND('Input data (2)'!$C$2=4,$D21&gt;=0),OFFSET('Input data (2)'!P$126,'Input data (2)'!$BL$1-$D21,0),IF(AND('Input data (2)'!$C$2=3,$C21&gt;=0),OFFSET('Input data (2)'!P$126,'Input data (2)'!$BL$1-$C21,0),IF(AND('Input data (2)'!$C$2=2,$B21&gt;=0),OFFSET('Input data (2)'!P$126,'Input data (2)'!$BL$1-$B21,0),IF(AND('Input data (2)'!$C$2=1,$A21&gt;=0),OFFSET('Input data (2)'!P$126,'Input data (2)'!$BL$1-$A21,0),""))))</f>
        <v>102</v>
      </c>
      <c r="BB36" s="1">
        <f ca="1">IF(AND('Input data (2)'!$C$2=4,$D21&gt;=0),OFFSET('Input data (2)'!BB$126,'Input data (2)'!$BL$1-$D21,0),IF(AND('Input data (2)'!$C$2=3,$C21&gt;=0),OFFSET('Input data (2)'!BB$126,'Input data (2)'!$BL$1-$C21,0),IF(AND('Input data (2)'!$C$2=2,$B21&gt;=0),OFFSET('Input data (2)'!BB$126,'Input data (2)'!$BL$1-$B21,0),IF(AND('Input data (2)'!$C$2=1,$A21&gt;=0),OFFSET('Input data (2)'!BB$126,'Input data (2)'!$BL$1-$A21,0),""))))</f>
        <v>3498</v>
      </c>
      <c r="BC36" s="1">
        <f ca="1">IF(AND('Input data (2)'!$C$2=4,$D21&gt;=0),OFFSET('Input data (2)'!AY$126,'Input data (2)'!$BL$1-$D21,0),IF(AND('Input data (2)'!$C$2=3,$C21&gt;=0),OFFSET('Input data (2)'!AY$126,'Input data (2)'!$BL$1-$C21,0),IF(AND('Input data (2)'!$C$2=2,$B21&gt;=0),OFFSET('Input data (2)'!AY$126,'Input data (2)'!$BL$1-$B21,0),IF(AND('Input data (2)'!$C$2=1,$A21&gt;=0),OFFSET('Input data (2)'!AY$126,'Input data (2)'!$BL$1-$A21,0),""))))</f>
        <v>1606</v>
      </c>
      <c r="BD36" s="1" t="str">
        <f ca="1">IF(AND('Input data (2)'!$C$2=4,$D21&gt;=0),OFFSET('Input data (2)'!AZ$126,'Input data (2)'!$BL$1-$D21,0),IF(AND('Input data (2)'!$C$2=3,$C21&gt;=0),OFFSET('Input data (2)'!AZ$126,'Input data (2)'!$BL$1-$C21,0),IF(AND('Input data (2)'!$C$2=2,$B21&gt;=0),OFFSET('Input data (2)'!AZ$126,'Input data (2)'!$BL$1-$B21,0),IF(AND('Input data (2)'!$C$2=1,$A21&gt;=0),OFFSET('Input data (2)'!AZ$126,'Input data (2)'!$BL$1-$A21,0),""))))</f>
        <v>:</v>
      </c>
      <c r="BE36" s="1">
        <f ca="1">IF(AND('Input data (2)'!$C$2=4,$D21&gt;=0),OFFSET('Input data (2)'!BA$126,'Input data (2)'!$BL$1-$D21,0),IF(AND('Input data (2)'!$C$2=3,$C21&gt;=0),OFFSET('Input data (2)'!BA$126,'Input data (2)'!$BL$1-$C21,0),IF(AND('Input data (2)'!$C$2=2,$B21&gt;=0),OFFSET('Input data (2)'!BA$126,'Input data (2)'!$BL$1-$B21,0),IF(AND('Input data (2)'!$C$2=1,$A21&gt;=0),OFFSET('Input data (2)'!BA$126,'Input data (2)'!$BL$1-$A21,0),""))))</f>
        <v>1892</v>
      </c>
      <c r="BF36" s="1">
        <f ca="1">IF(AND('Input data (2)'!$C$2=4,$D21&gt;=0),OFFSET('Input data (2)'!AP$126,'Input data (2)'!$BL$1-$D21,0),IF(AND('Input data (2)'!$C$2=3,$C21&gt;=0),OFFSET('Input data (2)'!AP$126,'Input data (2)'!$BL$1-$C21,0),IF(AND('Input data (2)'!$C$2=2,$B21&gt;=0),OFFSET('Input data (2)'!AP$126,'Input data (2)'!$BL$1-$B21,0),IF(AND('Input data (2)'!$C$2=1,$A21&gt;=0),OFFSET('Input data (2)'!AP$126,'Input data (2)'!$BL$1-$A21,0),""))))</f>
        <v>165</v>
      </c>
      <c r="BG36" s="1">
        <f ca="1">IF(AND('Input data (2)'!$C$2=4,$D21&gt;=0),OFFSET('Input data (2)'!AN$126,'Input data (2)'!$BL$1-$D21,0),IF(AND('Input data (2)'!$C$2=3,$C21&gt;=0),OFFSET('Input data (2)'!AN$126,'Input data (2)'!$BL$1-$C21,0),IF(AND('Input data (2)'!$C$2=2,$B21&gt;=0),OFFSET('Input data (2)'!AN$126,'Input data (2)'!$BL$1-$B21,0),IF(AND('Input data (2)'!$C$2=1,$A21&gt;=0),OFFSET('Input data (2)'!AN$126,'Input data (2)'!$BL$1-$A21,0),""))))</f>
        <v>131</v>
      </c>
      <c r="BH36" s="1">
        <f ca="1">IF(AND('Input data (2)'!$C$2=4,$D21&gt;=0),OFFSET('Input data (2)'!AO$126,'Input data (2)'!$BL$1-$D21,0),IF(AND('Input data (2)'!$C$2=3,$C21&gt;=0),OFFSET('Input data (2)'!AO$126,'Input data (2)'!$BL$1-$C21,0),IF(AND('Input data (2)'!$C$2=2,$B21&gt;=0),OFFSET('Input data (2)'!AO$126,'Input data (2)'!$BL$1-$B21,0),IF(AND('Input data (2)'!$C$2=1,$A21&gt;=0),OFFSET('Input data (2)'!AO$126,'Input data (2)'!$BL$1-$A21,0),""))))</f>
        <v>34</v>
      </c>
      <c r="BJ36" s="1">
        <f ca="1">IF(AND('Input data (2)'!$C$2=4,$D21&gt;=0),OFFSET('Input data (2)'!AU$126,'Input data (2)'!$BL$1-$D21,0),IF(AND('Input data (2)'!$C$2=3,$C21&gt;=0),OFFSET('Input data (2)'!AU$126,'Input data (2)'!$BL$1-$C21,0),IF(AND('Input data (2)'!$C$2=2,$B21&gt;=0),OFFSET('Input data (2)'!AU$126,'Input data (2)'!$BL$1-$B21,0),IF(AND('Input data (2)'!$C$2=1,$A21&gt;=0),OFFSET('Input data (2)'!AU$126,'Input data (2)'!$BL$1-$A21,0),""))))</f>
        <v>22</v>
      </c>
      <c r="BK36" s="1">
        <f ca="1">IF(AND('Input data (2)'!$C$2=4,$D21&gt;=0),OFFSET('Input data (2)'!AV$126,'Input data (2)'!$BL$1-$D21,0),IF(AND('Input data (2)'!$C$2=3,$C21&gt;=0),OFFSET('Input data (2)'!AV$126,'Input data (2)'!$BL$1-$C21,0),IF(AND('Input data (2)'!$C$2=2,$B21&gt;=0),OFFSET('Input data (2)'!AV$126,'Input data (2)'!$BL$1-$B21,0),IF(AND('Input data (2)'!$C$2=1,$A21&gt;=0),OFFSET('Input data (2)'!AV$126,'Input data (2)'!$BL$1-$A21,0),""))))</f>
        <v>0</v>
      </c>
      <c r="BL36" s="1">
        <f ca="1">IF(AND('Input data (2)'!$C$2=4,$D21&gt;=0),OFFSET('Input data (2)'!AW$126,'Input data (2)'!$BL$1-$D21,0),IF(AND('Input data (2)'!$C$2=3,$C21&gt;=0),OFFSET('Input data (2)'!AW$126,'Input data (2)'!$BL$1-$C21,0),IF(AND('Input data (2)'!$C$2=2,$B21&gt;=0),OFFSET('Input data (2)'!AW$126,'Input data (2)'!$BL$1-$B21,0),IF(AND('Input data (2)'!$C$2=1,$A21&gt;=0),OFFSET('Input data (2)'!AW$126,'Input data (2)'!$BL$1-$A21,0),""))))</f>
        <v>11</v>
      </c>
      <c r="BM36" s="1">
        <f ca="1">IF(AND('Input data (2)'!$C$2=4,$D21&gt;=0),OFFSET('Input data (2)'!AX$126,'Input data (2)'!$BL$1-$D21,0),IF(AND('Input data (2)'!$C$2=3,$C21&gt;=0),OFFSET('Input data (2)'!AX$126,'Input data (2)'!$BL$1-$C21,0),IF(AND('Input data (2)'!$C$2=2,$B21&gt;=0),OFFSET('Input data (2)'!AX$126,'Input data (2)'!$BL$1-$B21,0),IF(AND('Input data (2)'!$C$2=1,$A21&gt;=0),OFFSET('Input data (2)'!AX$126,'Input data (2)'!$BL$1-$A21,0),""))))</f>
        <v>1</v>
      </c>
      <c r="BO36" s="1">
        <f ca="1">IF(AND('Input data (2)'!$C$2=4,$D21&gt;=0),OFFSET('Input data (2)'!BL$126,'Input data (2)'!$BL$1-$D21,0),IF(AND('Input data (2)'!$C$2=3,$C21&gt;=0),OFFSET('Input data (2)'!BL$126,'Input data (2)'!$BL$1-$C21,0),IF(AND('Input data (2)'!$C$2=2,$B21&gt;=0),OFFSET('Input data (2)'!BL$126,'Input data (2)'!$BL$1-$B21,0),IF(AND('Input data (2)'!$C$2=1,$A21&gt;=0),OFFSET('Input data (2)'!BL$126,'Input data (2)'!$BL$1-$A21,0),""))))</f>
        <v>338</v>
      </c>
      <c r="BP36" s="1">
        <f ca="1">IF(AND('Input data (2)'!$C$2=4,$D21&gt;=0),OFFSET('Input data (2)'!BI$126,'Input data (2)'!$BL$1-$D21,0),IF(AND('Input data (2)'!$C$2=3,$C21&gt;=0),OFFSET('Input data (2)'!BI$126,'Input data (2)'!$BL$1-$C21,0),IF(AND('Input data (2)'!$C$2=2,$B21&gt;=0),OFFSET('Input data (2)'!BI$126,'Input data (2)'!$BL$1-$B21,0),IF(AND('Input data (2)'!$C$2=1,$A21&gt;=0),OFFSET('Input data (2)'!BI$126,'Input data (2)'!$BL$1-$A21,0),""))))</f>
        <v>228</v>
      </c>
      <c r="BQ36" s="1" t="str">
        <f ca="1">IF(AND('Input data (2)'!$C$2=4,$D21&gt;=0),OFFSET('Input data (2)'!BK$126,'Input data (2)'!$BL$1-$D21,0),IF(AND('Input data (2)'!$C$2=3,$C21&gt;=0),OFFSET('Input data (2)'!BK$126,'Input data (2)'!$BL$1-$C21,0),IF(AND('Input data (2)'!$C$2=2,$B21&gt;=0),OFFSET('Input data (2)'!BK$126,'Input data (2)'!$BL$1-$B21,0),IF(AND('Input data (2)'!$C$2=1,$A21&gt;=0),OFFSET('Input data (2)'!BK$126,'Input data (2)'!$BL$1-$A21,0),""))))</f>
        <v>..</v>
      </c>
      <c r="BR36" s="1">
        <f ca="1">IF(AND('Input data (2)'!$C$2=4,$D21&gt;=0),OFFSET('Input data (2)'!BJ$126,'Input data (2)'!$BL$1-$D21,0),IF(AND('Input data (2)'!$C$2=3,$C21&gt;=0),OFFSET('Input data (2)'!BJ$126,'Input data (2)'!$BL$1-$C21,0),IF(AND('Input data (2)'!$C$2=2,$B21&gt;=0),OFFSET('Input data (2)'!BJ$126,'Input data (2)'!$BL$1-$B21,0),IF(AND('Input data (2)'!$C$2=1,$A21&gt;=0),OFFSET('Input data (2)'!BJ$126,'Input data (2)'!$BL$1-$A21,0),""))))</f>
        <v>110</v>
      </c>
      <c r="BS36" s="1">
        <f ca="1">IF(AND('Input data (2)'!$C$2=4,$D21&gt;=0),OFFSET('Input data (2)'!BF$126,'Input data (2)'!$BL$1-$D21,0),IF(AND('Input data (2)'!$C$2=3,$C21&gt;=0),OFFSET('Input data (2)'!BF$126,'Input data (2)'!$BL$1-$C21,0),IF(AND('Input data (2)'!$C$2=2,$B21&gt;=0),OFFSET('Input data (2)'!BF$126,'Input data (2)'!$BL$1-$B21,0),IF(AND('Input data (2)'!$C$2=1,$A21&gt;=0),OFFSET('Input data (2)'!BF$126,'Input data (2)'!$BL$1-$A21,0),""))))</f>
        <v>38</v>
      </c>
      <c r="BT36" s="1">
        <f ca="1">IF(AND('Input data (2)'!$C$2=4,$D21&gt;=0),OFFSET('Input data (2)'!BD$126,'Input data (2)'!$BL$1-$D21,0),IF(AND('Input data (2)'!$C$2=3,$C21&gt;=0),OFFSET('Input data (2)'!BD$126,'Input data (2)'!$BL$1-$C21,0),IF(AND('Input data (2)'!$C$2=2,$B21&gt;=0),OFFSET('Input data (2)'!BD$126,'Input data (2)'!$BL$1-$B21,0),IF(AND('Input data (2)'!$C$2=1,$A21&gt;=0),OFFSET('Input data (2)'!BD$126,'Input data (2)'!$BL$1-$A21,0),""))))</f>
        <v>29</v>
      </c>
      <c r="BU36" s="1">
        <f ca="1">IF(AND('Input data (2)'!$C$2=4,$D21&gt;=0),OFFSET('Input data (2)'!BE$126,'Input data (2)'!$BL$1-$D21,0),IF(AND('Input data (2)'!$C$2=3,$C21&gt;=0),OFFSET('Input data (2)'!BE$126,'Input data (2)'!$BL$1-$C21,0),IF(AND('Input data (2)'!$C$2=2,$B21&gt;=0),OFFSET('Input data (2)'!BE$126,'Input data (2)'!$BL$1-$B21,0),IF(AND('Input data (2)'!$C$2=1,$A21&gt;=0),OFFSET('Input data (2)'!BE$126,'Input data (2)'!$BL$1-$A21,0),""))))</f>
        <v>9</v>
      </c>
      <c r="BW36" s="7">
        <f ca="1">IF(AND('Input data (2)'!$C$2=4,$D21&gt;=0),OFFSET('Input data (2)'!J$126,'Input data (2)'!$BL$1-$D21,0),IF(AND('Input data (2)'!$C$2=3,$C21&gt;=0),OFFSET('Input data (2)'!J$126,'Input data (2)'!$BL$1-$C21,0),IF(AND('Input data (2)'!$C$2=2,$B21&gt;=0),OFFSET('Input data (2)'!J$126,'Input data (2)'!$BL$1-$B21,0),IF(AND('Input data (2)'!$C$2=1,$A21&gt;=0),OFFSET('Input data (2)'!J$126,'Input data (2)'!$BL$1-$A21,0),""))))</f>
        <v>0.64536220662618449</v>
      </c>
      <c r="BX36" s="7">
        <f ca="1">IF(AND('Input data (2)'!$C$2=4,$D21&gt;=0),OFFSET('Input data (2)'!K$126,'Input data (2)'!$BL$1-$D21,0),IF(AND('Input data (2)'!$C$2=3,$C21&gt;=0),OFFSET('Input data (2)'!K$126,'Input data (2)'!$BL$1-$C21,0),IF(AND('Input data (2)'!$C$2=2,$B21&gt;=0),OFFSET('Input data (2)'!K$126,'Input data (2)'!$BL$1-$B21,0),IF(AND('Input data (2)'!$C$2=1,$A21&gt;=0),OFFSET('Input data (2)'!K$126,'Input data (2)'!$BL$1-$A21,0),""))))</f>
        <v>0.59218368839650626</v>
      </c>
      <c r="BY36" s="7">
        <f ca="1">IF(AND('Input data (2)'!$C$2=4,$D21&gt;=0),OFFSET('Input data (2)'!AS$126,'Input data (2)'!$BL$1-$D21,0),IF(AND('Input data (2)'!$C$2=3,$C21&gt;=0),OFFSET('Input data (2)'!AS$126,'Input data (2)'!$BL$1-$C21,0),IF(AND('Input data (2)'!$C$2=2,$B21&gt;=0),OFFSET('Input data (2)'!AS$126,'Input data (2)'!$BL$1-$B21,0),IF(AND('Input data (2)'!$C$2=1,$A21&gt;=0),OFFSET('Input data (2)'!AS$126,'Input data (2)'!$BL$1-$A21,0),""))))</f>
        <v>0.51757006845191633</v>
      </c>
      <c r="BZ36" s="7">
        <f ca="1">IF(AND('Input data (2)'!$C$2=4,$D21&gt;=0),OFFSET('Input data (2)'!AT$126,'Input data (2)'!$BL$1-$D21,0),IF(AND('Input data (2)'!$C$2=3,$C21&gt;=0),OFFSET('Input data (2)'!AT$126,'Input data (2)'!$BL$1-$C21,0),IF(AND('Input data (2)'!$C$2=2,$B21&gt;=0),OFFSET('Input data (2)'!AT$126,'Input data (2)'!$BL$1-$B21,0),IF(AND('Input data (2)'!$C$2=1,$A21&gt;=0),OFFSET('Input data (2)'!AT$126,'Input data (2)'!$BL$1-$A21,0),""))))</f>
        <v>0.4724724979407246</v>
      </c>
      <c r="CB36" s="122"/>
      <c r="CC36" s="122"/>
      <c r="CD36" s="122"/>
      <c r="CE36" s="122"/>
      <c r="CG36" s="1">
        <v>8</v>
      </c>
      <c r="CI36" s="1">
        <f t="shared" si="24"/>
        <v>2011</v>
      </c>
      <c r="CJ36" s="1" t="str">
        <f t="shared" si="25"/>
        <v>Q2</v>
      </c>
      <c r="CK36" s="1" t="str">
        <f t="shared" si="12"/>
        <v>11</v>
      </c>
      <c r="CL36" s="1" t="str">
        <f t="shared" si="13"/>
        <v>Q2 11</v>
      </c>
      <c r="CM36" s="1">
        <f ca="1">OFFSET('Input data (2)'!AJ$126,'Input data (2)'!$BL$1-'Output data - DO NOT TOUCH (2)'!$CG36,0)/1000</f>
        <v>11.289</v>
      </c>
      <c r="CN36" s="1">
        <f ca="1">OFFSET('Input data (2)'!AK$126,'Input data (2)'!$BL$1-'Output data - DO NOT TOUCH (2)'!$CG36,0)/1000</f>
        <v>12.023</v>
      </c>
      <c r="CO36" s="1" t="e">
        <f ca="1">OFFSET('Input data (2)'!AL$126,'Input data (2)'!$BL$1-'Output data - DO NOT TOUCH (2)'!$CG36,0)/1000</f>
        <v>#VALUE!</v>
      </c>
      <c r="CP36" s="1"/>
      <c r="CQ36" s="1">
        <f ca="1">OFFSET('Input data (2)'!AG$126,'Input data (2)'!$BL$1-'Output data - DO NOT TOUCH (2)'!$CG36,0)/1000</f>
        <v>1.3169999999999999</v>
      </c>
      <c r="CR36" s="1">
        <f ca="1">OFFSET('Input data (2)'!AH$126,'Input data (2)'!$BL$1-'Output data - DO NOT TOUCH (2)'!$CG36,0)/1000</f>
        <v>2.9129999999999998</v>
      </c>
      <c r="CS36" s="1">
        <f ca="1">OFFSET('Input data (2)'!AI$126,'Input data (2)'!$BL$1-'Output data - DO NOT TOUCH (2)'!$CG36,0)/1000</f>
        <v>4.2300000000000004</v>
      </c>
      <c r="CT36" s="1"/>
      <c r="CU36" s="1">
        <f ca="1">OFFSET('Input data (2)'!L$126,'Input data (2)'!$BL$1-'Output data - DO NOT TOUCH (2)'!$CG36,0)</f>
        <v>350</v>
      </c>
      <c r="CV36" s="1">
        <f ca="1">OFFSET('Input data (2)'!M$126,'Input data (2)'!$BL$1-'Output data - DO NOT TOUCH (2)'!$CG36,0)</f>
        <v>0</v>
      </c>
      <c r="CW36" s="67">
        <f ca="1">OFFSET('Input data (2)'!N$126,'Input data (2)'!$BL$1-'Output data - DO NOT TOUCH (2)'!$CG36,0)</f>
        <v>695</v>
      </c>
      <c r="CX36" s="1">
        <f ca="1">OFFSET('Input data (2)'!P$126,'Input data (2)'!$BL$1-'Output data - DO NOT TOUCH (2)'!$CG36,0)</f>
        <v>187</v>
      </c>
      <c r="CY36" s="1"/>
      <c r="CZ36" s="1">
        <f ca="1">OFFSET('Input data (2)'!AY$126,'Input data (2)'!$BL$1-'Output data - DO NOT TOUCH (2)'!$CG36,0)/1000</f>
        <v>2.948</v>
      </c>
      <c r="DA36" s="1">
        <f ca="1">OFFSET('Input data (2)'!BA$126,'Input data (2)'!$BL$1-'Output data - DO NOT TOUCH (2)'!$CG36,0)/1000</f>
        <v>2.3719999999999999</v>
      </c>
      <c r="DB36" s="1">
        <f ca="1">OFFSET('Input data (2)'!BB$126,'Input data (2)'!$BL$1-'Output data - DO NOT TOUCH (2)'!$CG36,0)/1000</f>
        <v>5.32</v>
      </c>
      <c r="DD36" s="1">
        <f ca="1">OFFSET('Input data (2)'!AN$126,'Input data (2)'!$BL$1-'Output data - DO NOT TOUCH (2)'!$CG36,0)</f>
        <v>261</v>
      </c>
      <c r="DE36" s="1">
        <f ca="1">OFFSET('Input data (2)'!AO$126,'Input data (2)'!$BL$1-'Output data - DO NOT TOUCH (2)'!$CG36,0)</f>
        <v>87</v>
      </c>
      <c r="DF36" s="1">
        <f ca="1">OFFSET('Input data (2)'!AP$126,'Input data (2)'!$BL$1-'Output data - DO NOT TOUCH (2)'!$CG36,0)</f>
        <v>348</v>
      </c>
      <c r="DG36" s="1"/>
      <c r="DH36" s="1">
        <f ca="1">OFFSET('Input data (2)'!AU$126,'Input data (2)'!$BL$1-'Output data - DO NOT TOUCH (2)'!$CG36,0)</f>
        <v>4</v>
      </c>
      <c r="DI36" s="1">
        <f ca="1">OFFSET('Input data (2)'!AV$126,'Input data (2)'!$BL$1-'Output data - DO NOT TOUCH (2)'!$CG36,0)</f>
        <v>0</v>
      </c>
      <c r="DJ36" s="1">
        <f ca="1">OFFSET('Input data (2)'!AW$126,'Input data (2)'!$BL$1-'Output data - DO NOT TOUCH (2)'!$CG36,0)</f>
        <v>61</v>
      </c>
      <c r="DK36" s="1">
        <f ca="1">OFFSET('Input data (2)'!AX$126,'Input data (2)'!$BL$1-'Output data - DO NOT TOUCH (2)'!$CG36,0)</f>
        <v>5</v>
      </c>
      <c r="DM36" s="1">
        <f ca="1">OFFSET('Input data (2)'!BI$126,'Input data (2)'!$BL$1-'Output data - DO NOT TOUCH (2)'!$CG36,0)</f>
        <v>451</v>
      </c>
      <c r="DN36" s="1">
        <f ca="1">OFFSET('Input data (2)'!BJ$126,'Input data (2)'!$BL$1-'Output data - DO NOT TOUCH (2)'!$CG36,0)</f>
        <v>301</v>
      </c>
      <c r="DO36" s="1">
        <f ca="1">OFFSET('Input data (2)'!BL$126,'Input data (2)'!$BL$1-'Output data - DO NOT TOUCH (2)'!$CG36,0)</f>
        <v>752</v>
      </c>
      <c r="DQ36" s="1">
        <f ca="1">OFFSET('Input data (2)'!BD$126,'Input data (2)'!$BL$1-'Output data - DO NOT TOUCH (2)'!$CG36,0)</f>
        <v>56</v>
      </c>
      <c r="DR36" s="1">
        <f ca="1">OFFSET('Input data (2)'!BE$126,'Input data (2)'!$BL$1-'Output data - DO NOT TOUCH (2)'!$CG36,0)</f>
        <v>35</v>
      </c>
      <c r="DS36" s="1">
        <f ca="1">OFFSET('Input data (2)'!BF$126,'Input data (2)'!$BL$1-'Output data - DO NOT TOUCH (2)'!$CG36,0)</f>
        <v>91</v>
      </c>
      <c r="DU36" s="1">
        <f ca="1">OFFSET('Input data (2)'!B$126,'Input data (2)'!$BL$1-'Output data - DO NOT TOUCH (2)'!$CG36-1,0)</f>
        <v>2011</v>
      </c>
      <c r="DV36" s="1" t="str">
        <f ca="1">OFFSET('Input data (2)'!C$126,'Input data (2)'!$BL$1-'Output data - DO NOT TOUCH (2)'!$CG36-1,0)</f>
        <v>Q1</v>
      </c>
      <c r="DW36" s="1" t="str">
        <f t="shared" ca="1" si="14"/>
        <v>11</v>
      </c>
      <c r="DX36" s="1" t="str">
        <f t="shared" ca="1" si="15"/>
        <v>Q1 11</v>
      </c>
      <c r="DY36" s="1">
        <f ca="1">OFFSET('Input data (2)'!W$126,'Input data (2)'!$BL$1-'Output data - DO NOT TOUCH (2)'!$CG36-1,0)/1000</f>
        <v>2.5790000000000002</v>
      </c>
      <c r="DZ36" s="1">
        <f ca="1">OFFSET('Input data (2)'!Y$126,'Input data (2)'!$BL$1-'Output data - DO NOT TOUCH (2)'!$CG36-1,0)/1000</f>
        <v>9.9600000000000009</v>
      </c>
      <c r="EA36" s="1">
        <f ca="1">OFFSET('Input data (2)'!Q$126,'Input data (2)'!$BL$1-'Output data - DO NOT TOUCH (2)'!$CG36-1,0)/1000</f>
        <v>12.539</v>
      </c>
    </row>
    <row r="37" spans="1:131" x14ac:dyDescent="0.15">
      <c r="A37" s="1">
        <v>7</v>
      </c>
      <c r="B37" s="1">
        <v>8</v>
      </c>
      <c r="C37" s="1">
        <v>9</v>
      </c>
      <c r="D37" s="1">
        <v>6</v>
      </c>
      <c r="E37" s="1" t="str">
        <f>F37&amp;G37</f>
        <v>2007Q3</v>
      </c>
      <c r="F37" s="1">
        <f>F32+1</f>
        <v>2007</v>
      </c>
      <c r="G37" s="1" t="s">
        <v>3</v>
      </c>
      <c r="H37" s="1">
        <f>VLOOKUP($E37,'Input data (2)'!$A:$BL,'Output data - DO NOT TOUCH (2)'!H$71,FALSE)</f>
        <v>3113</v>
      </c>
      <c r="I37" s="1">
        <f>VLOOKUP($E37,'Input data (2)'!$A:$BL,'Output data - DO NOT TOUCH (2)'!I$71,FALSE)</f>
        <v>1234</v>
      </c>
      <c r="J37" s="1">
        <f>VLOOKUP($E37,'Input data (2)'!$A:$BL,'Output data - DO NOT TOUCH (2)'!J$71,FALSE)</f>
        <v>1879</v>
      </c>
      <c r="K37" s="1">
        <f>VLOOKUP($E37,'Input data (2)'!$A:$BL,'Output data - DO NOT TOUCH (2)'!K$71,FALSE)</f>
        <v>3204</v>
      </c>
      <c r="L37" s="1">
        <f>VLOOKUP($E37,'Input data (2)'!$A:$BL,'Output data - DO NOT TOUCH (2)'!L$71,FALSE)</f>
        <v>1296</v>
      </c>
      <c r="M37" s="1">
        <f>VLOOKUP($E37,'Input data (2)'!$A:$BL,'Output data - DO NOT TOUCH (2)'!M$71,FALSE)</f>
        <v>1908</v>
      </c>
      <c r="O37" s="119">
        <f ca="1">IF(AND('Input data (2)'!$C$2=4,$D22&gt;=0),OFFSET('Input data (2)'!O$126,'Input data (2)'!$BL$1-$D22,0),IF(AND('Input data (2)'!$C$2=3,$C22&gt;=0),OFFSET('Input data (2)'!O$126,'Input data (2)'!$BL$1-$C22,0),IF(AND('Input data (2)'!$C$2=2,$B22&gt;=0),OFFSET('Input data (2)'!O$126,'Input data (2)'!$BL$1-$B22,0),IF(AND('Input data (2)'!$C$2=1,$A22&gt;=0),OFFSET('Input data (2)'!O$126,'Input data (2)'!$BL$1-$A22,0),""))))</f>
        <v>264</v>
      </c>
      <c r="Q37" s="1">
        <f ca="1">IF(AND('Input data (2)'!$C$2=4,$D22&gt;=0),OFFSET('Input data (2)'!AC$126,'Input data (2)'!$BL$1-$D22,0),IF(AND('Input data (2)'!$C$2=3,$C22&gt;=0),OFFSET('Input data (2)'!AC$126,'Input data (2)'!$BL$1-$C22,0),IF(AND('Input data (2)'!$C$2=2,$B22&gt;=0),OFFSET('Input data (2)'!AC$126,'Input data (2)'!$BL$1-$B22,0),IF(AND('Input data (2)'!$C$2=1,$A22&gt;=0),OFFSET('Input data (2)'!AC$126,'Input data (2)'!$BL$1-$A22,0),""))))</f>
        <v>26252</v>
      </c>
      <c r="R37" s="1">
        <f ca="1">IF(AND('Input data (2)'!$C$2=4,$D22&gt;=0),OFFSET('Input data (2)'!Q$126,'Input data (2)'!$BL$1-$D22,0),IF(AND('Input data (2)'!$C$2=3,$C22&gt;=0),OFFSET('Input data (2)'!Q$126,'Input data (2)'!$BL$1-$C22,0),IF(AND('Input data (2)'!$C$2=2,$B22&gt;=0),OFFSET('Input data (2)'!Q$126,'Input data (2)'!$BL$1-$B22,0),IF(AND('Input data (2)'!$C$2=1,$A22&gt;=0),OFFSET('Input data (2)'!Q$126,'Input data (2)'!$BL$1-$A22,0),""))))</f>
        <v>15600</v>
      </c>
      <c r="S37" s="1" t="str">
        <f ca="1">IF(AND('Input data (2)'!$C$2=4,$D22&gt;=0),OFFSET('Input data (2)'!R$126,'Input data (2)'!$BL$1-$D22,0),IF(AND('Input data (2)'!$C$2=3,$C22&gt;=0),OFFSET('Input data (2)'!R$126,'Input data (2)'!$BL$1-$C22,0),IF(AND('Input data (2)'!$C$2=2,$B22&gt;=0),OFFSET('Input data (2)'!R$126,'Input data (2)'!$BL$1-$B22,0),IF(AND('Input data (2)'!$C$2=1,$A22&gt;=0),OFFSET('Input data (2)'!R$126,'Input data (2)'!$BL$1-$A22,0),""))))</f>
        <v>:</v>
      </c>
      <c r="T37" s="1">
        <f ca="1">IF(AND('Input data (2)'!$C$2=4,$D22&gt;=0),OFFSET('Input data (2)'!AA$126,'Input data (2)'!$BL$1-$D22,0),IF(AND('Input data (2)'!$C$2=3,$C22&gt;=0),OFFSET('Input data (2)'!AA$126,'Input data (2)'!$BL$1-$C22,0),IF(AND('Input data (2)'!$C$2=2,$B22&gt;=0),OFFSET('Input data (2)'!AA$126,'Input data (2)'!$BL$1-$B22,0),IF(AND('Input data (2)'!$C$2=1,$A22&gt;=0),OFFSET('Input data (2)'!AA$126,'Input data (2)'!$BL$1-$A22,0),""))))</f>
        <v>10652</v>
      </c>
      <c r="U37" s="1">
        <f ca="1">IF(AND('Input data (2)'!$C$2=4,$D22&gt;=0),OFFSET('Input data (2)'!AL$126,'Input data (2)'!$BL$1-$D22,0),IF(AND('Input data (2)'!$C$2=3,$C22&gt;=0),OFFSET('Input data (2)'!AL$126,'Input data (2)'!$BL$1-$C22,0),IF(AND('Input data (2)'!$C$2=2,$B22&gt;=0),OFFSET('Input data (2)'!AL$126,'Input data (2)'!$BL$1-$B22,0),IF(AND('Input data (2)'!$C$2=1,$A22&gt;=0),OFFSET('Input data (2)'!AL$126,'Input data (2)'!$BL$1-$A22,0),""))))</f>
        <v>26019</v>
      </c>
      <c r="V37" s="1">
        <f ca="1">IF(AND('Input data (2)'!$C$2=4,$D22&gt;=0),OFFSET('Input data (2)'!AJ$126,'Input data (2)'!$BL$1-$D22,0),IF(AND('Input data (2)'!$C$2=3,$C22&gt;=0),OFFSET('Input data (2)'!AJ$126,'Input data (2)'!$BL$1-$C22,0),IF(AND('Input data (2)'!$C$2=2,$B22&gt;=0),OFFSET('Input data (2)'!AJ$126,'Input data (2)'!$BL$1-$B22,0),IF(AND('Input data (2)'!$C$2=1,$A22&gt;=0),OFFSET('Input data (2)'!AJ$126,'Input data (2)'!$BL$1-$A22,0),""))))</f>
        <v>15934</v>
      </c>
      <c r="W37" s="1">
        <f ca="1">IF(AND('Input data (2)'!$C$2=4,$D22&gt;=0),OFFSET('Input data (2)'!AK$126,'Input data (2)'!$BL$1-$D22,0),IF(AND('Input data (2)'!$C$2=3,$C22&gt;=0),OFFSET('Input data (2)'!AK$126,'Input data (2)'!$BL$1-$C22,0),IF(AND('Input data (2)'!$C$2=2,$B22&gt;=0),OFFSET('Input data (2)'!AK$126,'Input data (2)'!$BL$1-$B22,0),IF(AND('Input data (2)'!$C$2=1,$A22&gt;=0),OFFSET('Input data (2)'!AK$126,'Input data (2)'!$BL$1-$A22,0),""))))</f>
        <v>10085</v>
      </c>
      <c r="Y37" s="1">
        <f ca="1">IF(AND('Input data (2)'!$C$2=4,$D22&gt;=0),OFFSET('Input data (2)'!Q$126,'Input data (2)'!$BL$1-$D22,0),IF(AND('Input data (2)'!$C$2=3,$C22&gt;=0),OFFSET('Input data (2)'!Q$126,'Input data (2)'!$BL$1-$C22,0),IF(AND('Input data (2)'!$C$2=2,$B22&gt;=0),OFFSET('Input data (2)'!Q$126,'Input data (2)'!$BL$1-$B22,0),IF(AND('Input data (2)'!$C$2=1,$A22&gt;=0),OFFSET('Input data (2)'!Q$126,'Input data (2)'!$BL$1-$A22,0),""))))</f>
        <v>15600</v>
      </c>
      <c r="Z37" s="1">
        <f ca="1">IF(AND('Input data (2)'!$C$2=4,$D22&gt;=0),OFFSET('Input data (2)'!S$126,'Input data (2)'!$BL$1-$D22,0),IF(AND('Input data (2)'!$C$2=3,$C22&gt;=0),OFFSET('Input data (2)'!S$126,'Input data (2)'!$BL$1-$C22,0),IF(AND('Input data (2)'!$C$2=2,$B22&gt;=0),OFFSET('Input data (2)'!S$126,'Input data (2)'!$BL$1-$B22,0),IF(AND('Input data (2)'!$C$2=1,$A22&gt;=0),OFFSET('Input data (2)'!S$126,'Input data (2)'!$BL$1-$A22,0),""))))</f>
        <v>13173</v>
      </c>
      <c r="AA37" s="1">
        <f ca="1">IF(AND('Input data (2)'!$C$2=4,$D22&gt;=0),OFFSET('Input data (2)'!T$126,'Input data (2)'!$BL$1-$D22,0),IF(AND('Input data (2)'!$C$2=3,$C22&gt;=0),OFFSET('Input data (2)'!T$126,'Input data (2)'!$BL$1-$C22,0),IF(AND('Input data (2)'!$C$2=2,$B22&gt;=0),OFFSET('Input data (2)'!T$126,'Input data (2)'!$BL$1-$B22,0),IF(AND('Input data (2)'!$C$2=1,$A22&gt;=0),OFFSET('Input data (2)'!T$126,'Input data (2)'!$BL$1-$A22,0),""))))</f>
        <v>84.442307692307693</v>
      </c>
      <c r="AB37" s="1">
        <f ca="1">IF(AND('Input data (2)'!$C$2=4,$D22&gt;=0),OFFSET('Input data (2)'!U$126,'Input data (2)'!$BL$1-$D22,0),IF(AND('Input data (2)'!$C$2=3,$C22&gt;=0),OFFSET('Input data (2)'!U$126,'Input data (2)'!$BL$1-$C22,0),IF(AND('Input data (2)'!$C$2=2,$B22&gt;=0),OFFSET('Input data (2)'!U$126,'Input data (2)'!$BL$1-$B22,0),IF(AND('Input data (2)'!$C$2=1,$A22&gt;=0),OFFSET('Input data (2)'!U$126,'Input data (2)'!$BL$1-$A22,0),""))))</f>
        <v>2427</v>
      </c>
      <c r="AC37" s="1">
        <f ca="1">IF(AND('Input data (2)'!$C$2=4,$D22&gt;=0),OFFSET('Input data (2)'!V$126,'Input data (2)'!$BL$1-$D22,0),IF(AND('Input data (2)'!$C$2=3,$C22&gt;=0),OFFSET('Input data (2)'!V$126,'Input data (2)'!$BL$1-$C22,0),IF(AND('Input data (2)'!$C$2=2,$B22&gt;=0),OFFSET('Input data (2)'!V$126,'Input data (2)'!$BL$1-$B22,0),IF(AND('Input data (2)'!$C$2=1,$A22&gt;=0),OFFSET('Input data (2)'!V$126,'Input data (2)'!$BL$1-$A22,0),""))))</f>
        <v>15.557692307692308</v>
      </c>
      <c r="AD37" s="1">
        <f ca="1">IF(AND('Input data (2)'!$C$2=4,$D22&gt;=0),OFFSET('Input data (2)'!Q$126,'Input data (2)'!$BL$1-$D22,0),IF(AND('Input data (2)'!$C$2=3,$C22&gt;=0),OFFSET('Input data (2)'!Q$126,'Input data (2)'!$BL$1-$C22,0),IF(AND('Input data (2)'!$C$2=2,$B22&gt;=0),OFFSET('Input data (2)'!Q$126,'Input data (2)'!$BL$1-$B22,0),IF(AND('Input data (2)'!$C$2=1,$A22&gt;=0),OFFSET('Input data (2)'!Q$126,'Input data (2)'!$BL$1-$A22,0),""))))</f>
        <v>15600</v>
      </c>
      <c r="AE37" s="1">
        <f ca="1">IF(AND('Input data (2)'!$C$2=4,$D22&gt;=0),OFFSET('Input data (2)'!W$126,'Input data (2)'!$BL$1-$D22,0),IF(AND('Input data (2)'!$C$2=3,$C22&gt;=0),OFFSET('Input data (2)'!W$126,'Input data (2)'!$BL$1-$C22,0),IF(AND('Input data (2)'!$C$2=2,$B22&gt;=0),OFFSET('Input data (2)'!W$126,'Input data (2)'!$BL$1-$B22,0),IF(AND('Input data (2)'!$C$2=1,$A22&gt;=0),OFFSET('Input data (2)'!W$126,'Input data (2)'!$BL$1-$A22,0),""))))</f>
        <v>1660</v>
      </c>
      <c r="AF37" s="1">
        <f ca="1">IF(AND('Input data (2)'!$C$2=4,$D22&gt;=0),OFFSET('Input data (2)'!X$126,'Input data (2)'!$BL$1-$D22,0),IF(AND('Input data (2)'!$C$2=3,$C22&gt;=0),OFFSET('Input data (2)'!X$126,'Input data (2)'!$BL$1-$C22,0),IF(AND('Input data (2)'!$C$2=2,$B22&gt;=0),OFFSET('Input data (2)'!X$126,'Input data (2)'!$BL$1-$B22,0),IF(AND('Input data (2)'!$C$2=1,$A22&gt;=0),OFFSET('Input data (2)'!X$126,'Input data (2)'!$BL$1-$A22,0),""))))</f>
        <v>10.641025641025641</v>
      </c>
      <c r="AG37" s="1">
        <f ca="1">IF(AND('Input data (2)'!$C$2=4,$D22&gt;=0),OFFSET('Input data (2)'!Y$126,'Input data (2)'!$BL$1-$D22,0),IF(AND('Input data (2)'!$C$2=3,$C22&gt;=0),OFFSET('Input data (2)'!Y$126,'Input data (2)'!$BL$1-$C22,0),IF(AND('Input data (2)'!$C$2=2,$B22&gt;=0),OFFSET('Input data (2)'!Y$126,'Input data (2)'!$BL$1-$B22,0),IF(AND('Input data (2)'!$C$2=1,$A22&gt;=0),OFFSET('Input data (2)'!Y$126,'Input data (2)'!$BL$1-$A22,0),""))))</f>
        <v>13940</v>
      </c>
      <c r="AH37" s="1">
        <f ca="1">IF(AND('Input data (2)'!$C$2=4,$D22&gt;=0),OFFSET('Input data (2)'!Z$126,'Input data (2)'!$BL$1-$D22,0),IF(AND('Input data (2)'!$C$2=3,$C22&gt;=0),OFFSET('Input data (2)'!Z$126,'Input data (2)'!$BL$1-$C22,0),IF(AND('Input data (2)'!$C$2=2,$B22&gt;=0),OFFSET('Input data (2)'!Z$126,'Input data (2)'!$BL$1-$B22,0),IF(AND('Input data (2)'!$C$2=1,$A22&gt;=0),OFFSET('Input data (2)'!Z$126,'Input data (2)'!$BL$1-$A22,0),""))))</f>
        <v>89.358974358974365</v>
      </c>
      <c r="AI37" s="3"/>
      <c r="AJ37" s="124">
        <f ca="1">IF(AND('Input data (2)'!$C$2=4,$D22&gt;=0),OFFSET('Input data (2)'!AF$126,'Input data (2)'!$BL$1-$D22,0),IF(AND('Input data (2)'!$C$2=3,$C22&gt;=0),OFFSET('Input data (2)'!AF$126,'Input data (2)'!$BL$1-$C22,0),IF(AND('Input data (2)'!$C$2=2,$B22&gt;=0),OFFSET('Input data (2)'!AF$126,'Input data (2)'!$BL$1-$B22,0),IF(AND('Input data (2)'!$C$2=1,$A22&gt;=0),OFFSET('Input data (2)'!AF$126,'Input data (2)'!$BL$1-$A22,0),""))))</f>
        <v>4244</v>
      </c>
      <c r="AK37" s="124">
        <f ca="1">IF(AND('Input data (2)'!$C$2=4,$D22&gt;=0),OFFSET('Input data (2)'!AD$126,'Input data (2)'!$BL$1-$D22,0),IF(AND('Input data (2)'!$C$2=3,$C22&gt;=0),OFFSET('Input data (2)'!AD$126,'Input data (2)'!$BL$1-$C22,0),IF(AND('Input data (2)'!$C$2=2,$B22&gt;=0),OFFSET('Input data (2)'!AD$126,'Input data (2)'!$BL$1-$B22,0),IF(AND('Input data (2)'!$C$2=1,$A22&gt;=0),OFFSET('Input data (2)'!AD$126,'Input data (2)'!$BL$1-$A22,0),""))))</f>
        <v>11</v>
      </c>
      <c r="AL37" s="124">
        <f ca="1">IF(AND('Input data (2)'!$C$2=4,$D22&gt;=0),OFFSET('Input data (2)'!AE$126,'Input data (2)'!$BL$1-$D22,0),IF(AND('Input data (2)'!$C$2=3,$C22&gt;=0),OFFSET('Input data (2)'!AE$126,'Input data (2)'!$BL$1-$C22,0),IF(AND('Input data (2)'!$C$2=2,$B22&gt;=0),OFFSET('Input data (2)'!AE$126,'Input data (2)'!$BL$1-$B22,0),IF(AND('Input data (2)'!$C$2=1,$A22&gt;=0),OFFSET('Input data (2)'!AE$126,'Input data (2)'!$BL$1-$A22,0),""))))</f>
        <v>4233</v>
      </c>
      <c r="AW37" s="1">
        <f ca="1">IF(AND('Input data (2)'!$C$2=4,$D22&gt;=0),OFFSET('Input data (2)'!L$126,'Input data (2)'!$BL$1-$D22,0),IF(AND('Input data (2)'!$C$2=3,$C22&gt;=0),OFFSET('Input data (2)'!L$126,'Input data (2)'!$BL$1-$C22,0),IF(AND('Input data (2)'!$C$2=2,$B22&gt;=0),OFFSET('Input data (2)'!L$126,'Input data (2)'!$BL$1-$B22,0),IF(AND('Input data (2)'!$C$2=1,$A22&gt;=0),OFFSET('Input data (2)'!L$126,'Input data (2)'!$BL$1-$A22,0),""))))</f>
        <v>80</v>
      </c>
      <c r="AX37" s="1">
        <f ca="1">IF(AND('Input data (2)'!$C$2=4,$D22&gt;=0),OFFSET('Input data (2)'!M$126,'Input data (2)'!$BL$1-$D22,0),IF(AND('Input data (2)'!$C$2=3,$C22&gt;=0),OFFSET('Input data (2)'!M$126,'Input data (2)'!$BL$1-$C22,0),IF(AND('Input data (2)'!$C$2=2,$B22&gt;=0),OFFSET('Input data (2)'!M$126,'Input data (2)'!$BL$1-$B22,0),IF(AND('Input data (2)'!$C$2=1,$A22&gt;=0),OFFSET('Input data (2)'!M$126,'Input data (2)'!$BL$1-$A22,0),""))))</f>
        <v>2</v>
      </c>
      <c r="AY37" s="1">
        <f ca="1">IF(AND('Input data (2)'!$C$2=4,$D22&gt;=0),OFFSET('Input data (2)'!N$126,'Input data (2)'!$BL$1-$D22,0),IF(AND('Input data (2)'!$C$2=3,$C22&gt;=0),OFFSET('Input data (2)'!N$126,'Input data (2)'!$BL$1-$C22,0),IF(AND('Input data (2)'!$C$2=2,$B22&gt;=0),OFFSET('Input data (2)'!N$126,'Input data (2)'!$BL$1-$B22,0),IF(AND('Input data (2)'!$C$2=1,$A22&gt;=0),OFFSET('Input data (2)'!N$126,'Input data (2)'!$BL$1-$A22,0),""))))</f>
        <v>666</v>
      </c>
      <c r="AZ37" s="1">
        <f ca="1">IF(AND('Input data (2)'!$C$2=4,$D22&gt;=0),OFFSET('Input data (2)'!P$126,'Input data (2)'!$BL$1-$D22,0),IF(AND('Input data (2)'!$C$2=3,$C22&gt;=0),OFFSET('Input data (2)'!P$126,'Input data (2)'!$BL$1-$C22,0),IF(AND('Input data (2)'!$C$2=2,$B22&gt;=0),OFFSET('Input data (2)'!P$126,'Input data (2)'!$BL$1-$B22,0),IF(AND('Input data (2)'!$C$2=1,$A22&gt;=0),OFFSET('Input data (2)'!P$126,'Input data (2)'!$BL$1-$A22,0),""))))</f>
        <v>129</v>
      </c>
      <c r="BB37" s="1">
        <f ca="1">IF(AND('Input data (2)'!$C$2=4,$D22&gt;=0),OFFSET('Input data (2)'!BB$126,'Input data (2)'!$BL$1-$D22,0),IF(AND('Input data (2)'!$C$2=3,$C22&gt;=0),OFFSET('Input data (2)'!BB$126,'Input data (2)'!$BL$1-$C22,0),IF(AND('Input data (2)'!$C$2=2,$B22&gt;=0),OFFSET('Input data (2)'!BB$126,'Input data (2)'!$BL$1-$B22,0),IF(AND('Input data (2)'!$C$2=1,$A22&gt;=0),OFFSET('Input data (2)'!BB$126,'Input data (2)'!$BL$1-$A22,0),""))))</f>
        <v>3527</v>
      </c>
      <c r="BC37" s="1">
        <f ca="1">IF(AND('Input data (2)'!$C$2=4,$D22&gt;=0),OFFSET('Input data (2)'!AY$126,'Input data (2)'!$BL$1-$D22,0),IF(AND('Input data (2)'!$C$2=3,$C22&gt;=0),OFFSET('Input data (2)'!AY$126,'Input data (2)'!$BL$1-$C22,0),IF(AND('Input data (2)'!$C$2=2,$B22&gt;=0),OFFSET('Input data (2)'!AY$126,'Input data (2)'!$BL$1-$B22,0),IF(AND('Input data (2)'!$C$2=1,$A22&gt;=0),OFFSET('Input data (2)'!AY$126,'Input data (2)'!$BL$1-$A22,0),""))))</f>
        <v>1545</v>
      </c>
      <c r="BD37" s="1" t="str">
        <f ca="1">IF(AND('Input data (2)'!$C$2=4,$D22&gt;=0),OFFSET('Input data (2)'!AZ$126,'Input data (2)'!$BL$1-$D22,0),IF(AND('Input data (2)'!$C$2=3,$C22&gt;=0),OFFSET('Input data (2)'!AZ$126,'Input data (2)'!$BL$1-$C22,0),IF(AND('Input data (2)'!$C$2=2,$B22&gt;=0),OFFSET('Input data (2)'!AZ$126,'Input data (2)'!$BL$1-$B22,0),IF(AND('Input data (2)'!$C$2=1,$A22&gt;=0),OFFSET('Input data (2)'!AZ$126,'Input data (2)'!$BL$1-$A22,0),""))))</f>
        <v>:</v>
      </c>
      <c r="BE37" s="1">
        <f ca="1">IF(AND('Input data (2)'!$C$2=4,$D22&gt;=0),OFFSET('Input data (2)'!BA$126,'Input data (2)'!$BL$1-$D22,0),IF(AND('Input data (2)'!$C$2=3,$C22&gt;=0),OFFSET('Input data (2)'!BA$126,'Input data (2)'!$BL$1-$C22,0),IF(AND('Input data (2)'!$C$2=2,$B22&gt;=0),OFFSET('Input data (2)'!BA$126,'Input data (2)'!$BL$1-$B22,0),IF(AND('Input data (2)'!$C$2=1,$A22&gt;=0),OFFSET('Input data (2)'!BA$126,'Input data (2)'!$BL$1-$A22,0),""))))</f>
        <v>1982</v>
      </c>
      <c r="BF37" s="1">
        <f ca="1">IF(AND('Input data (2)'!$C$2=4,$D22&gt;=0),OFFSET('Input data (2)'!AP$126,'Input data (2)'!$BL$1-$D22,0),IF(AND('Input data (2)'!$C$2=3,$C22&gt;=0),OFFSET('Input data (2)'!AP$126,'Input data (2)'!$BL$1-$C22,0),IF(AND('Input data (2)'!$C$2=2,$B22&gt;=0),OFFSET('Input data (2)'!AP$126,'Input data (2)'!$BL$1-$B22,0),IF(AND('Input data (2)'!$C$2=1,$A22&gt;=0),OFFSET('Input data (2)'!AP$126,'Input data (2)'!$BL$1-$A22,0),""))))</f>
        <v>125</v>
      </c>
      <c r="BG37" s="1">
        <f ca="1">IF(AND('Input data (2)'!$C$2=4,$D22&gt;=0),OFFSET('Input data (2)'!AN$126,'Input data (2)'!$BL$1-$D22,0),IF(AND('Input data (2)'!$C$2=3,$C22&gt;=0),OFFSET('Input data (2)'!AN$126,'Input data (2)'!$BL$1-$C22,0),IF(AND('Input data (2)'!$C$2=2,$B22&gt;=0),OFFSET('Input data (2)'!AN$126,'Input data (2)'!$BL$1-$B22,0),IF(AND('Input data (2)'!$C$2=1,$A22&gt;=0),OFFSET('Input data (2)'!AN$126,'Input data (2)'!$BL$1-$A22,0),""))))</f>
        <v>105</v>
      </c>
      <c r="BH37" s="1">
        <f ca="1">IF(AND('Input data (2)'!$C$2=4,$D22&gt;=0),OFFSET('Input data (2)'!AO$126,'Input data (2)'!$BL$1-$D22,0),IF(AND('Input data (2)'!$C$2=3,$C22&gt;=0),OFFSET('Input data (2)'!AO$126,'Input data (2)'!$BL$1-$C22,0),IF(AND('Input data (2)'!$C$2=2,$B22&gt;=0),OFFSET('Input data (2)'!AO$126,'Input data (2)'!$BL$1-$B22,0),IF(AND('Input data (2)'!$C$2=1,$A22&gt;=0),OFFSET('Input data (2)'!AO$126,'Input data (2)'!$BL$1-$A22,0),""))))</f>
        <v>20</v>
      </c>
      <c r="BJ37" s="1">
        <f ca="1">IF(AND('Input data (2)'!$C$2=4,$D22&gt;=0),OFFSET('Input data (2)'!AU$126,'Input data (2)'!$BL$1-$D22,0),IF(AND('Input data (2)'!$C$2=3,$C22&gt;=0),OFFSET('Input data (2)'!AU$126,'Input data (2)'!$BL$1-$C22,0),IF(AND('Input data (2)'!$C$2=2,$B22&gt;=0),OFFSET('Input data (2)'!AU$126,'Input data (2)'!$BL$1-$B22,0),IF(AND('Input data (2)'!$C$2=1,$A22&gt;=0),OFFSET('Input data (2)'!AU$126,'Input data (2)'!$BL$1-$A22,0),""))))</f>
        <v>8</v>
      </c>
      <c r="BK37" s="1">
        <f ca="1">IF(AND('Input data (2)'!$C$2=4,$D22&gt;=0),OFFSET('Input data (2)'!AV$126,'Input data (2)'!$BL$1-$D22,0),IF(AND('Input data (2)'!$C$2=3,$C22&gt;=0),OFFSET('Input data (2)'!AV$126,'Input data (2)'!$BL$1-$C22,0),IF(AND('Input data (2)'!$C$2=2,$B22&gt;=0),OFFSET('Input data (2)'!AV$126,'Input data (2)'!$BL$1-$B22,0),IF(AND('Input data (2)'!$C$2=1,$A22&gt;=0),OFFSET('Input data (2)'!AV$126,'Input data (2)'!$BL$1-$A22,0),""))))</f>
        <v>0</v>
      </c>
      <c r="BL37" s="1">
        <f ca="1">IF(AND('Input data (2)'!$C$2=4,$D22&gt;=0),OFFSET('Input data (2)'!AW$126,'Input data (2)'!$BL$1-$D22,0),IF(AND('Input data (2)'!$C$2=3,$C22&gt;=0),OFFSET('Input data (2)'!AW$126,'Input data (2)'!$BL$1-$C22,0),IF(AND('Input data (2)'!$C$2=2,$B22&gt;=0),OFFSET('Input data (2)'!AW$126,'Input data (2)'!$BL$1-$B22,0),IF(AND('Input data (2)'!$C$2=1,$A22&gt;=0),OFFSET('Input data (2)'!AW$126,'Input data (2)'!$BL$1-$A22,0),""))))</f>
        <v>6</v>
      </c>
      <c r="BM37" s="1">
        <f ca="1">IF(AND('Input data (2)'!$C$2=4,$D22&gt;=0),OFFSET('Input data (2)'!AX$126,'Input data (2)'!$BL$1-$D22,0),IF(AND('Input data (2)'!$C$2=3,$C22&gt;=0),OFFSET('Input data (2)'!AX$126,'Input data (2)'!$BL$1-$C22,0),IF(AND('Input data (2)'!$C$2=2,$B22&gt;=0),OFFSET('Input data (2)'!AX$126,'Input data (2)'!$BL$1-$B22,0),IF(AND('Input data (2)'!$C$2=1,$A22&gt;=0),OFFSET('Input data (2)'!AX$126,'Input data (2)'!$BL$1-$A22,0),""))))</f>
        <v>2</v>
      </c>
      <c r="BO37" s="1">
        <f ca="1">IF(AND('Input data (2)'!$C$2=4,$D22&gt;=0),OFFSET('Input data (2)'!BL$126,'Input data (2)'!$BL$1-$D22,0),IF(AND('Input data (2)'!$C$2=3,$C22&gt;=0),OFFSET('Input data (2)'!BL$126,'Input data (2)'!$BL$1-$C22,0),IF(AND('Input data (2)'!$C$2=2,$B22&gt;=0),OFFSET('Input data (2)'!BL$126,'Input data (2)'!$BL$1-$B22,0),IF(AND('Input data (2)'!$C$2=1,$A22&gt;=0),OFFSET('Input data (2)'!BL$126,'Input data (2)'!$BL$1-$A22,0),""))))</f>
        <v>338</v>
      </c>
      <c r="BP37" s="1">
        <f ca="1">IF(AND('Input data (2)'!$C$2=4,$D22&gt;=0),OFFSET('Input data (2)'!BI$126,'Input data (2)'!$BL$1-$D22,0),IF(AND('Input data (2)'!$C$2=3,$C22&gt;=0),OFFSET('Input data (2)'!BI$126,'Input data (2)'!$BL$1-$C22,0),IF(AND('Input data (2)'!$C$2=2,$B22&gt;=0),OFFSET('Input data (2)'!BI$126,'Input data (2)'!$BL$1-$B22,0),IF(AND('Input data (2)'!$C$2=1,$A22&gt;=0),OFFSET('Input data (2)'!BI$126,'Input data (2)'!$BL$1-$A22,0),""))))</f>
        <v>227</v>
      </c>
      <c r="BQ37" s="1" t="str">
        <f ca="1">IF(AND('Input data (2)'!$C$2=4,$D22&gt;=0),OFFSET('Input data (2)'!BK$126,'Input data (2)'!$BL$1-$D22,0),IF(AND('Input data (2)'!$C$2=3,$C22&gt;=0),OFFSET('Input data (2)'!BK$126,'Input data (2)'!$BL$1-$C22,0),IF(AND('Input data (2)'!$C$2=2,$B22&gt;=0),OFFSET('Input data (2)'!BK$126,'Input data (2)'!$BL$1-$B22,0),IF(AND('Input data (2)'!$C$2=1,$A22&gt;=0),OFFSET('Input data (2)'!BK$126,'Input data (2)'!$BL$1-$A22,0),""))))</f>
        <v>..</v>
      </c>
      <c r="BR37" s="1">
        <f ca="1">IF(AND('Input data (2)'!$C$2=4,$D22&gt;=0),OFFSET('Input data (2)'!BJ$126,'Input data (2)'!$BL$1-$D22,0),IF(AND('Input data (2)'!$C$2=3,$C22&gt;=0),OFFSET('Input data (2)'!BJ$126,'Input data (2)'!$BL$1-$C22,0),IF(AND('Input data (2)'!$C$2=2,$B22&gt;=0),OFFSET('Input data (2)'!BJ$126,'Input data (2)'!$BL$1-$B22,0),IF(AND('Input data (2)'!$C$2=1,$A22&gt;=0),OFFSET('Input data (2)'!BJ$126,'Input data (2)'!$BL$1-$A22,0),""))))</f>
        <v>111</v>
      </c>
      <c r="BS37" s="1">
        <f ca="1">IF(AND('Input data (2)'!$C$2=4,$D22&gt;=0),OFFSET('Input data (2)'!BF$126,'Input data (2)'!$BL$1-$D22,0),IF(AND('Input data (2)'!$C$2=3,$C22&gt;=0),OFFSET('Input data (2)'!BF$126,'Input data (2)'!$BL$1-$C22,0),IF(AND('Input data (2)'!$C$2=2,$B22&gt;=0),OFFSET('Input data (2)'!BF$126,'Input data (2)'!$BL$1-$B22,0),IF(AND('Input data (2)'!$C$2=1,$A22&gt;=0),OFFSET('Input data (2)'!BF$126,'Input data (2)'!$BL$1-$A22,0),""))))</f>
        <v>42</v>
      </c>
      <c r="BT37" s="1">
        <f ca="1">IF(AND('Input data (2)'!$C$2=4,$D22&gt;=0),OFFSET('Input data (2)'!BD$126,'Input data (2)'!$BL$1-$D22,0),IF(AND('Input data (2)'!$C$2=3,$C22&gt;=0),OFFSET('Input data (2)'!BD$126,'Input data (2)'!$BL$1-$C22,0),IF(AND('Input data (2)'!$C$2=2,$B22&gt;=0),OFFSET('Input data (2)'!BD$126,'Input data (2)'!$BL$1-$B22,0),IF(AND('Input data (2)'!$C$2=1,$A22&gt;=0),OFFSET('Input data (2)'!BD$126,'Input data (2)'!$BL$1-$A22,0),""))))</f>
        <v>28</v>
      </c>
      <c r="BU37" s="1">
        <f ca="1">IF(AND('Input data (2)'!$C$2=4,$D22&gt;=0),OFFSET('Input data (2)'!BE$126,'Input data (2)'!$BL$1-$D22,0),IF(AND('Input data (2)'!$C$2=3,$C22&gt;=0),OFFSET('Input data (2)'!BE$126,'Input data (2)'!$BL$1-$C22,0),IF(AND('Input data (2)'!$C$2=2,$B22&gt;=0),OFFSET('Input data (2)'!BE$126,'Input data (2)'!$BL$1-$B22,0),IF(AND('Input data (2)'!$C$2=1,$A22&gt;=0),OFFSET('Input data (2)'!BE$126,'Input data (2)'!$BL$1-$A22,0),""))))</f>
        <v>14</v>
      </c>
      <c r="BW37" s="7">
        <f ca="1">IF(AND('Input data (2)'!$C$2=4,$D22&gt;=0),OFFSET('Input data (2)'!J$126,'Input data (2)'!$BL$1-$D22,0),IF(AND('Input data (2)'!$C$2=3,$C22&gt;=0),OFFSET('Input data (2)'!J$126,'Input data (2)'!$BL$1-$C22,0),IF(AND('Input data (2)'!$C$2=2,$B22&gt;=0),OFFSET('Input data (2)'!J$126,'Input data (2)'!$BL$1-$B22,0),IF(AND('Input data (2)'!$C$2=1,$A22&gt;=0),OFFSET('Input data (2)'!J$126,'Input data (2)'!$BL$1-$A22,0),""))))</f>
        <v>0.62993971990921493</v>
      </c>
      <c r="BX37" s="7">
        <f ca="1">IF(AND('Input data (2)'!$C$2=4,$D22&gt;=0),OFFSET('Input data (2)'!K$126,'Input data (2)'!$BL$1-$D22,0),IF(AND('Input data (2)'!$C$2=3,$C22&gt;=0),OFFSET('Input data (2)'!K$126,'Input data (2)'!$BL$1-$C22,0),IF(AND('Input data (2)'!$C$2=2,$B22&gt;=0),OFFSET('Input data (2)'!K$126,'Input data (2)'!$BL$1-$B22,0),IF(AND('Input data (2)'!$C$2=1,$A22&gt;=0),OFFSET('Input data (2)'!K$126,'Input data (2)'!$BL$1-$A22,0),""))))</f>
        <v>0.57724836447689942</v>
      </c>
      <c r="BY37" s="7">
        <f ca="1">IF(AND('Input data (2)'!$C$2=4,$D22&gt;=0),OFFSET('Input data (2)'!AS$126,'Input data (2)'!$BL$1-$D22,0),IF(AND('Input data (2)'!$C$2=3,$C22&gt;=0),OFFSET('Input data (2)'!AS$126,'Input data (2)'!$BL$1-$C22,0),IF(AND('Input data (2)'!$C$2=2,$B22&gt;=0),OFFSET('Input data (2)'!AS$126,'Input data (2)'!$BL$1-$B22,0),IF(AND('Input data (2)'!$C$2=1,$A22&gt;=0),OFFSET('Input data (2)'!AS$126,'Input data (2)'!$BL$1-$A22,0),""))))</f>
        <v>0.48152384280048149</v>
      </c>
      <c r="BZ37" s="7">
        <f ca="1">IF(AND('Input data (2)'!$C$2=4,$D22&gt;=0),OFFSET('Input data (2)'!AT$126,'Input data (2)'!$BL$1-$D22,0),IF(AND('Input data (2)'!$C$2=3,$C22&gt;=0),OFFSET('Input data (2)'!AT$126,'Input data (2)'!$BL$1-$C22,0),IF(AND('Input data (2)'!$C$2=2,$B22&gt;=0),OFFSET('Input data (2)'!AT$126,'Input data (2)'!$BL$1-$B22,0),IF(AND('Input data (2)'!$C$2=1,$A22&gt;=0),OFFSET('Input data (2)'!AT$126,'Input data (2)'!$BL$1-$A22,0),""))))</f>
        <v>0.43952484473984194</v>
      </c>
      <c r="CB37" s="122"/>
      <c r="CC37" s="122"/>
      <c r="CD37" s="122"/>
      <c r="CE37" s="122"/>
      <c r="CG37" s="1">
        <v>7</v>
      </c>
      <c r="CI37" s="1">
        <f t="shared" ca="1" si="24"/>
        <v>2011</v>
      </c>
      <c r="CJ37" s="1" t="str">
        <f t="shared" si="25"/>
        <v>Q3</v>
      </c>
      <c r="CK37" s="1" t="str">
        <f t="shared" ca="1" si="12"/>
        <v>11</v>
      </c>
      <c r="CL37" s="1" t="str">
        <f t="shared" ca="1" si="13"/>
        <v>Q3 11</v>
      </c>
      <c r="CM37" s="1">
        <f ca="1">OFFSET('Input data (2)'!AJ$126,'Input data (2)'!$BL$1-'Output data - DO NOT TOUCH (2)'!$CG37,0)/1000</f>
        <v>9.7189999999999994</v>
      </c>
      <c r="CN37" s="1">
        <f ca="1">OFFSET('Input data (2)'!AK$126,'Input data (2)'!$BL$1-'Output data - DO NOT TOUCH (2)'!$CG37,0)/1000</f>
        <v>12.512</v>
      </c>
      <c r="CO37" s="1" t="e">
        <f ca="1">OFFSET('Input data (2)'!AL$126,'Input data (2)'!$BL$1-'Output data - DO NOT TOUCH (2)'!$CG37,0)/1000</f>
        <v>#VALUE!</v>
      </c>
      <c r="CP37" s="1"/>
      <c r="CQ37" s="1">
        <f ca="1">OFFSET('Input data (2)'!AG$126,'Input data (2)'!$BL$1-'Output data - DO NOT TOUCH (2)'!$CG37,0)/1000</f>
        <v>1.1970000000000001</v>
      </c>
      <c r="CR37" s="1">
        <f ca="1">OFFSET('Input data (2)'!AH$126,'Input data (2)'!$BL$1-'Output data - DO NOT TOUCH (2)'!$CG37,0)/1000</f>
        <v>3.0569999999999999</v>
      </c>
      <c r="CS37" s="1">
        <f ca="1">OFFSET('Input data (2)'!AI$126,'Input data (2)'!$BL$1-'Output data - DO NOT TOUCH (2)'!$CG37,0)/1000</f>
        <v>4.2539999999999996</v>
      </c>
      <c r="CT37" s="1"/>
      <c r="CU37" s="1">
        <f ca="1">OFFSET('Input data (2)'!L$126,'Input data (2)'!$BL$1-'Output data - DO NOT TOUCH (2)'!$CG37,0)</f>
        <v>374</v>
      </c>
      <c r="CV37" s="1">
        <f ca="1">OFFSET('Input data (2)'!M$126,'Input data (2)'!$BL$1-'Output data - DO NOT TOUCH (2)'!$CG37,0)</f>
        <v>0</v>
      </c>
      <c r="CW37" s="67">
        <f ca="1">OFFSET('Input data (2)'!N$126,'Input data (2)'!$BL$1-'Output data - DO NOT TOUCH (2)'!$CG37,0)</f>
        <v>673</v>
      </c>
      <c r="CX37" s="1">
        <f ca="1">OFFSET('Input data (2)'!P$126,'Input data (2)'!$BL$1-'Output data - DO NOT TOUCH (2)'!$CG37,0)</f>
        <v>206</v>
      </c>
      <c r="CY37" s="1"/>
      <c r="CZ37" s="1">
        <f ca="1">OFFSET('Input data (2)'!AY$126,'Input data (2)'!$BL$1-'Output data - DO NOT TOUCH (2)'!$CG37,0)/1000</f>
        <v>2.8570000000000002</v>
      </c>
      <c r="DA37" s="1">
        <f ca="1">OFFSET('Input data (2)'!BA$126,'Input data (2)'!$BL$1-'Output data - DO NOT TOUCH (2)'!$CG37,0)/1000</f>
        <v>2.5259999999999998</v>
      </c>
      <c r="DB37" s="1">
        <f ca="1">OFFSET('Input data (2)'!BB$126,'Input data (2)'!$BL$1-'Output data - DO NOT TOUCH (2)'!$CG37,0)/1000</f>
        <v>5.383</v>
      </c>
      <c r="DD37" s="1">
        <f ca="1">OFFSET('Input data (2)'!AN$126,'Input data (2)'!$BL$1-'Output data - DO NOT TOUCH (2)'!$CG37,0)</f>
        <v>236</v>
      </c>
      <c r="DE37" s="1">
        <f ca="1">OFFSET('Input data (2)'!AO$126,'Input data (2)'!$BL$1-'Output data - DO NOT TOUCH (2)'!$CG37,0)</f>
        <v>84</v>
      </c>
      <c r="DF37" s="1">
        <f ca="1">OFFSET('Input data (2)'!AP$126,'Input data (2)'!$BL$1-'Output data - DO NOT TOUCH (2)'!$CG37,0)</f>
        <v>320</v>
      </c>
      <c r="DG37" s="1"/>
      <c r="DH37" s="1">
        <f ca="1">OFFSET('Input data (2)'!AU$126,'Input data (2)'!$BL$1-'Output data - DO NOT TOUCH (2)'!$CG37,0)</f>
        <v>0</v>
      </c>
      <c r="DI37" s="1">
        <f ca="1">OFFSET('Input data (2)'!AV$126,'Input data (2)'!$BL$1-'Output data - DO NOT TOUCH (2)'!$CG37,0)</f>
        <v>0</v>
      </c>
      <c r="DJ37" s="1">
        <f ca="1">OFFSET('Input data (2)'!AW$126,'Input data (2)'!$BL$1-'Output data - DO NOT TOUCH (2)'!$CG37,0)</f>
        <v>52</v>
      </c>
      <c r="DK37" s="1">
        <f ca="1">OFFSET('Input data (2)'!AX$126,'Input data (2)'!$BL$1-'Output data - DO NOT TOUCH (2)'!$CG37,0)</f>
        <v>1</v>
      </c>
      <c r="DM37" s="1">
        <f ca="1">OFFSET('Input data (2)'!BI$126,'Input data (2)'!$BL$1-'Output data - DO NOT TOUCH (2)'!$CG37,0)</f>
        <v>301</v>
      </c>
      <c r="DN37" s="1">
        <f ca="1">OFFSET('Input data (2)'!BJ$126,'Input data (2)'!$BL$1-'Output data - DO NOT TOUCH (2)'!$CG37,0)</f>
        <v>273</v>
      </c>
      <c r="DO37" s="1">
        <f ca="1">OFFSET('Input data (2)'!BL$126,'Input data (2)'!$BL$1-'Output data - DO NOT TOUCH (2)'!$CG37,0)</f>
        <v>608</v>
      </c>
      <c r="DQ37" s="1">
        <f ca="1">OFFSET('Input data (2)'!BD$126,'Input data (2)'!$BL$1-'Output data - DO NOT TOUCH (2)'!$CG37,0)</f>
        <v>43</v>
      </c>
      <c r="DR37" s="1">
        <f ca="1">OFFSET('Input data (2)'!BE$126,'Input data (2)'!$BL$1-'Output data - DO NOT TOUCH (2)'!$CG37,0)</f>
        <v>39</v>
      </c>
      <c r="DS37" s="1">
        <f ca="1">OFFSET('Input data (2)'!BF$126,'Input data (2)'!$BL$1-'Output data - DO NOT TOUCH (2)'!$CG37,0)</f>
        <v>82</v>
      </c>
      <c r="DU37" s="1">
        <f ca="1">OFFSET('Input data (2)'!B$126,'Input data (2)'!$BL$1-'Output data - DO NOT TOUCH (2)'!$CG37-1,0)</f>
        <v>2011</v>
      </c>
      <c r="DV37" s="1" t="str">
        <f ca="1">OFFSET('Input data (2)'!C$126,'Input data (2)'!$BL$1-'Output data - DO NOT TOUCH (2)'!$CG37-1,0)</f>
        <v>Q2</v>
      </c>
      <c r="DW37" s="1" t="str">
        <f t="shared" ca="1" si="14"/>
        <v>11</v>
      </c>
      <c r="DX37" s="1" t="str">
        <f t="shared" ca="1" si="15"/>
        <v>Q2 11</v>
      </c>
      <c r="DY37" s="1">
        <f ca="1">OFFSET('Input data (2)'!W$126,'Input data (2)'!$BL$1-'Output data - DO NOT TOUCH (2)'!$CG37-1,0)/1000</f>
        <v>2.3239999999999998</v>
      </c>
      <c r="DZ37" s="1">
        <f ca="1">OFFSET('Input data (2)'!Y$126,'Input data (2)'!$BL$1-'Output data - DO NOT TOUCH (2)'!$CG37-1,0)/1000</f>
        <v>8.7769999999999992</v>
      </c>
      <c r="EA37" s="1">
        <f ca="1">OFFSET('Input data (2)'!Q$126,'Input data (2)'!$BL$1-'Output data - DO NOT TOUCH (2)'!$CG37-1,0)/1000</f>
        <v>11.101000000000001</v>
      </c>
    </row>
    <row r="38" spans="1:131" x14ac:dyDescent="0.15">
      <c r="A38" s="1">
        <v>6</v>
      </c>
      <c r="B38" s="1">
        <v>7</v>
      </c>
      <c r="C38" s="1">
        <v>8</v>
      </c>
      <c r="D38" s="1">
        <v>5</v>
      </c>
      <c r="E38" s="1" t="str">
        <f>F38&amp;G38</f>
        <v>2007Q4</v>
      </c>
      <c r="F38" s="1">
        <f>F33+1</f>
        <v>2007</v>
      </c>
      <c r="G38" s="1" t="s">
        <v>4</v>
      </c>
      <c r="H38" s="1">
        <f>VLOOKUP($E38,'Input data (2)'!$A:$BL,'Output data - DO NOT TOUCH (2)'!H$71,FALSE)</f>
        <v>2929</v>
      </c>
      <c r="I38" s="1">
        <f>VLOOKUP($E38,'Input data (2)'!$A:$BL,'Output data - DO NOT TOUCH (2)'!I$71,FALSE)</f>
        <v>1148</v>
      </c>
      <c r="J38" s="1">
        <f>VLOOKUP($E38,'Input data (2)'!$A:$BL,'Output data - DO NOT TOUCH (2)'!J$71,FALSE)</f>
        <v>1781</v>
      </c>
      <c r="K38" s="1">
        <f>VLOOKUP($E38,'Input data (2)'!$A:$BL,'Output data - DO NOT TOUCH (2)'!K$71,FALSE)</f>
        <v>2982</v>
      </c>
      <c r="L38" s="1">
        <f>VLOOKUP($E38,'Input data (2)'!$A:$BL,'Output data - DO NOT TOUCH (2)'!L$71,FALSE)</f>
        <v>1135</v>
      </c>
      <c r="M38" s="1">
        <f>VLOOKUP($E38,'Input data (2)'!$A:$BL,'Output data - DO NOT TOUCH (2)'!M$71,FALSE)</f>
        <v>1847</v>
      </c>
      <c r="O38" s="119">
        <f ca="1">IF(AND('Input data (2)'!$C$2=4,$D23&gt;=0),OFFSET('Input data (2)'!O$126,'Input data (2)'!$BL$1-$D23,0),IF(AND('Input data (2)'!$C$2=3,$C23&gt;=0),OFFSET('Input data (2)'!O$126,'Input data (2)'!$BL$1-$C23,0),IF(AND('Input data (2)'!$C$2=2,$B23&gt;=0),OFFSET('Input data (2)'!O$126,'Input data (2)'!$BL$1-$B23,0),IF(AND('Input data (2)'!$C$2=1,$A23&gt;=0),OFFSET('Input data (2)'!O$126,'Input data (2)'!$BL$1-$A23,0),""))))</f>
        <v>270</v>
      </c>
      <c r="Q38" s="1">
        <f ca="1">IF(AND('Input data (2)'!$C$2=4,$D23&gt;=0),OFFSET('Input data (2)'!AC$126,'Input data (2)'!$BL$1-$D23,0),IF(AND('Input data (2)'!$C$2=3,$C23&gt;=0),OFFSET('Input data (2)'!AC$126,'Input data (2)'!$BL$1-$C23,0),IF(AND('Input data (2)'!$C$2=2,$B23&gt;=0),OFFSET('Input data (2)'!AC$126,'Input data (2)'!$BL$1-$B23,0),IF(AND('Input data (2)'!$C$2=1,$A23&gt;=0),OFFSET('Input data (2)'!AC$126,'Input data (2)'!$BL$1-$A23,0),""))))</f>
        <v>23830</v>
      </c>
      <c r="R38" s="1">
        <f ca="1">IF(AND('Input data (2)'!$C$2=4,$D23&gt;=0),OFFSET('Input data (2)'!Q$126,'Input data (2)'!$BL$1-$D23,0),IF(AND('Input data (2)'!$C$2=3,$C23&gt;=0),OFFSET('Input data (2)'!Q$126,'Input data (2)'!$BL$1-$C23,0),IF(AND('Input data (2)'!$C$2=2,$B23&gt;=0),OFFSET('Input data (2)'!Q$126,'Input data (2)'!$BL$1-$B23,0),IF(AND('Input data (2)'!$C$2=1,$A23&gt;=0),OFFSET('Input data (2)'!Q$126,'Input data (2)'!$BL$1-$A23,0),""))))</f>
        <v>14454</v>
      </c>
      <c r="S38" s="1" t="str">
        <f ca="1">IF(AND('Input data (2)'!$C$2=4,$D23&gt;=0),OFFSET('Input data (2)'!R$126,'Input data (2)'!$BL$1-$D23,0),IF(AND('Input data (2)'!$C$2=3,$C23&gt;=0),OFFSET('Input data (2)'!R$126,'Input data (2)'!$BL$1-$C23,0),IF(AND('Input data (2)'!$C$2=2,$B23&gt;=0),OFFSET('Input data (2)'!R$126,'Input data (2)'!$BL$1-$B23,0),IF(AND('Input data (2)'!$C$2=1,$A23&gt;=0),OFFSET('Input data (2)'!R$126,'Input data (2)'!$BL$1-$A23,0),""))))</f>
        <v>:</v>
      </c>
      <c r="T38" s="1">
        <f ca="1">IF(AND('Input data (2)'!$C$2=4,$D23&gt;=0),OFFSET('Input data (2)'!AA$126,'Input data (2)'!$BL$1-$D23,0),IF(AND('Input data (2)'!$C$2=3,$C23&gt;=0),OFFSET('Input data (2)'!AA$126,'Input data (2)'!$BL$1-$C23,0),IF(AND('Input data (2)'!$C$2=2,$B23&gt;=0),OFFSET('Input data (2)'!AA$126,'Input data (2)'!$BL$1-$B23,0),IF(AND('Input data (2)'!$C$2=1,$A23&gt;=0),OFFSET('Input data (2)'!AA$126,'Input data (2)'!$BL$1-$A23,0),""))))</f>
        <v>9376</v>
      </c>
      <c r="U38" s="1">
        <f ca="1">IF(AND('Input data (2)'!$C$2=4,$D23&gt;=0),OFFSET('Input data (2)'!AL$126,'Input data (2)'!$BL$1-$D23,0),IF(AND('Input data (2)'!$C$2=3,$C23&gt;=0),OFFSET('Input data (2)'!AL$126,'Input data (2)'!$BL$1-$C23,0),IF(AND('Input data (2)'!$C$2=2,$B23&gt;=0),OFFSET('Input data (2)'!AL$126,'Input data (2)'!$BL$1-$B23,0),IF(AND('Input data (2)'!$C$2=1,$A23&gt;=0),OFFSET('Input data (2)'!AL$126,'Input data (2)'!$BL$1-$A23,0),""))))</f>
        <v>24434</v>
      </c>
      <c r="V38" s="1">
        <f ca="1">IF(AND('Input data (2)'!$C$2=4,$D23&gt;=0),OFFSET('Input data (2)'!AJ$126,'Input data (2)'!$BL$1-$D23,0),IF(AND('Input data (2)'!$C$2=3,$C23&gt;=0),OFFSET('Input data (2)'!AJ$126,'Input data (2)'!$BL$1-$C23,0),IF(AND('Input data (2)'!$C$2=2,$B23&gt;=0),OFFSET('Input data (2)'!AJ$126,'Input data (2)'!$BL$1-$B23,0),IF(AND('Input data (2)'!$C$2=1,$A23&gt;=0),OFFSET('Input data (2)'!AJ$126,'Input data (2)'!$BL$1-$A23,0),""))))</f>
        <v>15311</v>
      </c>
      <c r="W38" s="1">
        <f ca="1">IF(AND('Input data (2)'!$C$2=4,$D23&gt;=0),OFFSET('Input data (2)'!AK$126,'Input data (2)'!$BL$1-$D23,0),IF(AND('Input data (2)'!$C$2=3,$C23&gt;=0),OFFSET('Input data (2)'!AK$126,'Input data (2)'!$BL$1-$C23,0),IF(AND('Input data (2)'!$C$2=2,$B23&gt;=0),OFFSET('Input data (2)'!AK$126,'Input data (2)'!$BL$1-$B23,0),IF(AND('Input data (2)'!$C$2=1,$A23&gt;=0),OFFSET('Input data (2)'!AK$126,'Input data (2)'!$BL$1-$A23,0),""))))</f>
        <v>9123</v>
      </c>
      <c r="Y38" s="1">
        <f ca="1">IF(AND('Input data (2)'!$C$2=4,$D23&gt;=0),OFFSET('Input data (2)'!Q$126,'Input data (2)'!$BL$1-$D23,0),IF(AND('Input data (2)'!$C$2=3,$C23&gt;=0),OFFSET('Input data (2)'!Q$126,'Input data (2)'!$BL$1-$C23,0),IF(AND('Input data (2)'!$C$2=2,$B23&gt;=0),OFFSET('Input data (2)'!Q$126,'Input data (2)'!$BL$1-$B23,0),IF(AND('Input data (2)'!$C$2=1,$A23&gt;=0),OFFSET('Input data (2)'!Q$126,'Input data (2)'!$BL$1-$A23,0),""))))</f>
        <v>14454</v>
      </c>
      <c r="Z38" s="1">
        <f ca="1">IF(AND('Input data (2)'!$C$2=4,$D23&gt;=0),OFFSET('Input data (2)'!S$126,'Input data (2)'!$BL$1-$D23,0),IF(AND('Input data (2)'!$C$2=3,$C23&gt;=0),OFFSET('Input data (2)'!S$126,'Input data (2)'!$BL$1-$C23,0),IF(AND('Input data (2)'!$C$2=2,$B23&gt;=0),OFFSET('Input data (2)'!S$126,'Input data (2)'!$BL$1-$B23,0),IF(AND('Input data (2)'!$C$2=1,$A23&gt;=0),OFFSET('Input data (2)'!S$126,'Input data (2)'!$BL$1-$A23,0),""))))</f>
        <v>11981</v>
      </c>
      <c r="AA38" s="1">
        <f ca="1">IF(AND('Input data (2)'!$C$2=4,$D23&gt;=0),OFFSET('Input data (2)'!T$126,'Input data (2)'!$BL$1-$D23,0),IF(AND('Input data (2)'!$C$2=3,$C23&gt;=0),OFFSET('Input data (2)'!T$126,'Input data (2)'!$BL$1-$C23,0),IF(AND('Input data (2)'!$C$2=2,$B23&gt;=0),OFFSET('Input data (2)'!T$126,'Input data (2)'!$BL$1-$B23,0),IF(AND('Input data (2)'!$C$2=1,$A23&gt;=0),OFFSET('Input data (2)'!T$126,'Input data (2)'!$BL$1-$A23,0),""))))</f>
        <v>82.890549328905493</v>
      </c>
      <c r="AB38" s="1">
        <f ca="1">IF(AND('Input data (2)'!$C$2=4,$D23&gt;=0),OFFSET('Input data (2)'!U$126,'Input data (2)'!$BL$1-$D23,0),IF(AND('Input data (2)'!$C$2=3,$C23&gt;=0),OFFSET('Input data (2)'!U$126,'Input data (2)'!$BL$1-$C23,0),IF(AND('Input data (2)'!$C$2=2,$B23&gt;=0),OFFSET('Input data (2)'!U$126,'Input data (2)'!$BL$1-$B23,0),IF(AND('Input data (2)'!$C$2=1,$A23&gt;=0),OFFSET('Input data (2)'!U$126,'Input data (2)'!$BL$1-$A23,0),""))))</f>
        <v>2473</v>
      </c>
      <c r="AC38" s="1">
        <f ca="1">IF(AND('Input data (2)'!$C$2=4,$D23&gt;=0),OFFSET('Input data (2)'!V$126,'Input data (2)'!$BL$1-$D23,0),IF(AND('Input data (2)'!$C$2=3,$C23&gt;=0),OFFSET('Input data (2)'!V$126,'Input data (2)'!$BL$1-$C23,0),IF(AND('Input data (2)'!$C$2=2,$B23&gt;=0),OFFSET('Input data (2)'!V$126,'Input data (2)'!$BL$1-$B23,0),IF(AND('Input data (2)'!$C$2=1,$A23&gt;=0),OFFSET('Input data (2)'!V$126,'Input data (2)'!$BL$1-$A23,0),""))))</f>
        <v>17.109450671094507</v>
      </c>
      <c r="AD38" s="1">
        <f ca="1">IF(AND('Input data (2)'!$C$2=4,$D23&gt;=0),OFFSET('Input data (2)'!Q$126,'Input data (2)'!$BL$1-$D23,0),IF(AND('Input data (2)'!$C$2=3,$C23&gt;=0),OFFSET('Input data (2)'!Q$126,'Input data (2)'!$BL$1-$C23,0),IF(AND('Input data (2)'!$C$2=2,$B23&gt;=0),OFFSET('Input data (2)'!Q$126,'Input data (2)'!$BL$1-$B23,0),IF(AND('Input data (2)'!$C$2=1,$A23&gt;=0),OFFSET('Input data (2)'!Q$126,'Input data (2)'!$BL$1-$A23,0),""))))</f>
        <v>14454</v>
      </c>
      <c r="AE38" s="1">
        <f ca="1">IF(AND('Input data (2)'!$C$2=4,$D23&gt;=0),OFFSET('Input data (2)'!W$126,'Input data (2)'!$BL$1-$D23,0),IF(AND('Input data (2)'!$C$2=3,$C23&gt;=0),OFFSET('Input data (2)'!W$126,'Input data (2)'!$BL$1-$C23,0),IF(AND('Input data (2)'!$C$2=2,$B23&gt;=0),OFFSET('Input data (2)'!W$126,'Input data (2)'!$BL$1-$B23,0),IF(AND('Input data (2)'!$C$2=1,$A23&gt;=0),OFFSET('Input data (2)'!W$126,'Input data (2)'!$BL$1-$A23,0),""))))</f>
        <v>1650</v>
      </c>
      <c r="AF38" s="1">
        <f ca="1">IF(AND('Input data (2)'!$C$2=4,$D23&gt;=0),OFFSET('Input data (2)'!X$126,'Input data (2)'!$BL$1-$D23,0),IF(AND('Input data (2)'!$C$2=3,$C23&gt;=0),OFFSET('Input data (2)'!X$126,'Input data (2)'!$BL$1-$C23,0),IF(AND('Input data (2)'!$C$2=2,$B23&gt;=0),OFFSET('Input data (2)'!X$126,'Input data (2)'!$BL$1-$B23,0),IF(AND('Input data (2)'!$C$2=1,$A23&gt;=0),OFFSET('Input data (2)'!X$126,'Input data (2)'!$BL$1-$A23,0),""))))</f>
        <v>11.415525114155251</v>
      </c>
      <c r="AG38" s="1">
        <f ca="1">IF(AND('Input data (2)'!$C$2=4,$D23&gt;=0),OFFSET('Input data (2)'!Y$126,'Input data (2)'!$BL$1-$D23,0),IF(AND('Input data (2)'!$C$2=3,$C23&gt;=0),OFFSET('Input data (2)'!Y$126,'Input data (2)'!$BL$1-$C23,0),IF(AND('Input data (2)'!$C$2=2,$B23&gt;=0),OFFSET('Input data (2)'!Y$126,'Input data (2)'!$BL$1-$B23,0),IF(AND('Input data (2)'!$C$2=1,$A23&gt;=0),OFFSET('Input data (2)'!Y$126,'Input data (2)'!$BL$1-$A23,0),""))))</f>
        <v>12804</v>
      </c>
      <c r="AH38" s="1">
        <f ca="1">IF(AND('Input data (2)'!$C$2=4,$D23&gt;=0),OFFSET('Input data (2)'!Z$126,'Input data (2)'!$BL$1-$D23,0),IF(AND('Input data (2)'!$C$2=3,$C23&gt;=0),OFFSET('Input data (2)'!Z$126,'Input data (2)'!$BL$1-$C23,0),IF(AND('Input data (2)'!$C$2=2,$B23&gt;=0),OFFSET('Input data (2)'!Z$126,'Input data (2)'!$BL$1-$B23,0),IF(AND('Input data (2)'!$C$2=1,$A23&gt;=0),OFFSET('Input data (2)'!Z$126,'Input data (2)'!$BL$1-$A23,0),""))))</f>
        <v>88.584474885844742</v>
      </c>
      <c r="AI38" s="3"/>
      <c r="AJ38" s="124">
        <f ca="1">IF(AND('Input data (2)'!$C$2=4,$D23&gt;=0),OFFSET('Input data (2)'!AF$126,'Input data (2)'!$BL$1-$D23,0),IF(AND('Input data (2)'!$C$2=3,$C23&gt;=0),OFFSET('Input data (2)'!AF$126,'Input data (2)'!$BL$1-$C23,0),IF(AND('Input data (2)'!$C$2=2,$B23&gt;=0),OFFSET('Input data (2)'!AF$126,'Input data (2)'!$BL$1-$B23,0),IF(AND('Input data (2)'!$C$2=1,$A23&gt;=0),OFFSET('Input data (2)'!AF$126,'Input data (2)'!$BL$1-$A23,0),""))))</f>
        <v>3710</v>
      </c>
      <c r="AK38" s="124">
        <f ca="1">IF(AND('Input data (2)'!$C$2=4,$D23&gt;=0),OFFSET('Input data (2)'!AD$126,'Input data (2)'!$BL$1-$D23,0),IF(AND('Input data (2)'!$C$2=3,$C23&gt;=0),OFFSET('Input data (2)'!AD$126,'Input data (2)'!$BL$1-$C23,0),IF(AND('Input data (2)'!$C$2=2,$B23&gt;=0),OFFSET('Input data (2)'!AD$126,'Input data (2)'!$BL$1-$B23,0),IF(AND('Input data (2)'!$C$2=1,$A23&gt;=0),OFFSET('Input data (2)'!AD$126,'Input data (2)'!$BL$1-$A23,0),""))))</f>
        <v>16</v>
      </c>
      <c r="AL38" s="124">
        <f ca="1">IF(AND('Input data (2)'!$C$2=4,$D23&gt;=0),OFFSET('Input data (2)'!AE$126,'Input data (2)'!$BL$1-$D23,0),IF(AND('Input data (2)'!$C$2=3,$C23&gt;=0),OFFSET('Input data (2)'!AE$126,'Input data (2)'!$BL$1-$C23,0),IF(AND('Input data (2)'!$C$2=2,$B23&gt;=0),OFFSET('Input data (2)'!AE$126,'Input data (2)'!$BL$1-$B23,0),IF(AND('Input data (2)'!$C$2=1,$A23&gt;=0),OFFSET('Input data (2)'!AE$126,'Input data (2)'!$BL$1-$A23,0),""))))</f>
        <v>3694</v>
      </c>
      <c r="AW38" s="1">
        <f ca="1">IF(AND('Input data (2)'!$C$2=4,$D23&gt;=0),OFFSET('Input data (2)'!L$126,'Input data (2)'!$BL$1-$D23,0),IF(AND('Input data (2)'!$C$2=3,$C23&gt;=0),OFFSET('Input data (2)'!L$126,'Input data (2)'!$BL$1-$C23,0),IF(AND('Input data (2)'!$C$2=2,$B23&gt;=0),OFFSET('Input data (2)'!L$126,'Input data (2)'!$BL$1-$B23,0),IF(AND('Input data (2)'!$C$2=1,$A23&gt;=0),OFFSET('Input data (2)'!L$126,'Input data (2)'!$BL$1-$A23,0),""))))</f>
        <v>92</v>
      </c>
      <c r="AX38" s="1">
        <f ca="1">IF(AND('Input data (2)'!$C$2=4,$D23&gt;=0),OFFSET('Input data (2)'!M$126,'Input data (2)'!$BL$1-$D23,0),IF(AND('Input data (2)'!$C$2=3,$C23&gt;=0),OFFSET('Input data (2)'!M$126,'Input data (2)'!$BL$1-$C23,0),IF(AND('Input data (2)'!$C$2=2,$B23&gt;=0),OFFSET('Input data (2)'!M$126,'Input data (2)'!$BL$1-$B23,0),IF(AND('Input data (2)'!$C$2=1,$A23&gt;=0),OFFSET('Input data (2)'!M$126,'Input data (2)'!$BL$1-$A23,0),""))))</f>
        <v>0</v>
      </c>
      <c r="AY38" s="1">
        <f ca="1">IF(AND('Input data (2)'!$C$2=4,$D23&gt;=0),OFFSET('Input data (2)'!N$126,'Input data (2)'!$BL$1-$D23,0),IF(AND('Input data (2)'!$C$2=3,$C23&gt;=0),OFFSET('Input data (2)'!N$126,'Input data (2)'!$BL$1-$C23,0),IF(AND('Input data (2)'!$C$2=2,$B23&gt;=0),OFFSET('Input data (2)'!N$126,'Input data (2)'!$BL$1-$B23,0),IF(AND('Input data (2)'!$C$2=1,$A23&gt;=0),OFFSET('Input data (2)'!N$126,'Input data (2)'!$BL$1-$A23,0),""))))</f>
        <v>575</v>
      </c>
      <c r="AZ38" s="1">
        <f ca="1">IF(AND('Input data (2)'!$C$2=4,$D23&gt;=0),OFFSET('Input data (2)'!P$126,'Input data (2)'!$BL$1-$D23,0),IF(AND('Input data (2)'!$C$2=3,$C23&gt;=0),OFFSET('Input data (2)'!P$126,'Input data (2)'!$BL$1-$C23,0),IF(AND('Input data (2)'!$C$2=2,$B23&gt;=0),OFFSET('Input data (2)'!P$126,'Input data (2)'!$BL$1-$B23,0),IF(AND('Input data (2)'!$C$2=1,$A23&gt;=0),OFFSET('Input data (2)'!P$126,'Input data (2)'!$BL$1-$A23,0),""))))</f>
        <v>91</v>
      </c>
      <c r="BB38" s="1">
        <f ca="1">IF(AND('Input data (2)'!$C$2=4,$D23&gt;=0),OFFSET('Input data (2)'!BB$126,'Input data (2)'!$BL$1-$D23,0),IF(AND('Input data (2)'!$C$2=3,$C23&gt;=0),OFFSET('Input data (2)'!BB$126,'Input data (2)'!$BL$1-$C23,0),IF(AND('Input data (2)'!$C$2=2,$B23&gt;=0),OFFSET('Input data (2)'!BB$126,'Input data (2)'!$BL$1-$B23,0),IF(AND('Input data (2)'!$C$2=1,$A23&gt;=0),OFFSET('Input data (2)'!BB$126,'Input data (2)'!$BL$1-$A23,0),""))))</f>
        <v>3318</v>
      </c>
      <c r="BC38" s="1">
        <f ca="1">IF(AND('Input data (2)'!$C$2=4,$D23&gt;=0),OFFSET('Input data (2)'!AY$126,'Input data (2)'!$BL$1-$D23,0),IF(AND('Input data (2)'!$C$2=3,$C23&gt;=0),OFFSET('Input data (2)'!AY$126,'Input data (2)'!$BL$1-$C23,0),IF(AND('Input data (2)'!$C$2=2,$B23&gt;=0),OFFSET('Input data (2)'!AY$126,'Input data (2)'!$BL$1-$B23,0),IF(AND('Input data (2)'!$C$2=1,$A23&gt;=0),OFFSET('Input data (2)'!AY$126,'Input data (2)'!$BL$1-$A23,0),""))))</f>
        <v>1563</v>
      </c>
      <c r="BD38" s="1" t="str">
        <f ca="1">IF(AND('Input data (2)'!$C$2=4,$D23&gt;=0),OFFSET('Input data (2)'!AZ$126,'Input data (2)'!$BL$1-$D23,0),IF(AND('Input data (2)'!$C$2=3,$C23&gt;=0),OFFSET('Input data (2)'!AZ$126,'Input data (2)'!$BL$1-$C23,0),IF(AND('Input data (2)'!$C$2=2,$B23&gt;=0),OFFSET('Input data (2)'!AZ$126,'Input data (2)'!$BL$1-$B23,0),IF(AND('Input data (2)'!$C$2=1,$A23&gt;=0),OFFSET('Input data (2)'!AZ$126,'Input data (2)'!$BL$1-$A23,0),""))))</f>
        <v>:</v>
      </c>
      <c r="BE38" s="1">
        <f ca="1">IF(AND('Input data (2)'!$C$2=4,$D23&gt;=0),OFFSET('Input data (2)'!BA$126,'Input data (2)'!$BL$1-$D23,0),IF(AND('Input data (2)'!$C$2=3,$C23&gt;=0),OFFSET('Input data (2)'!BA$126,'Input data (2)'!$BL$1-$C23,0),IF(AND('Input data (2)'!$C$2=2,$B23&gt;=0),OFFSET('Input data (2)'!BA$126,'Input data (2)'!$BL$1-$B23,0),IF(AND('Input data (2)'!$C$2=1,$A23&gt;=0),OFFSET('Input data (2)'!BA$126,'Input data (2)'!$BL$1-$A23,0),""))))</f>
        <v>1755</v>
      </c>
      <c r="BF38" s="1">
        <f ca="1">IF(AND('Input data (2)'!$C$2=4,$D23&gt;=0),OFFSET('Input data (2)'!AP$126,'Input data (2)'!$BL$1-$D23,0),IF(AND('Input data (2)'!$C$2=3,$C23&gt;=0),OFFSET('Input data (2)'!AP$126,'Input data (2)'!$BL$1-$C23,0),IF(AND('Input data (2)'!$C$2=2,$B23&gt;=0),OFFSET('Input data (2)'!AP$126,'Input data (2)'!$BL$1-$B23,0),IF(AND('Input data (2)'!$C$2=1,$A23&gt;=0),OFFSET('Input data (2)'!AP$126,'Input data (2)'!$BL$1-$A23,0),""))))</f>
        <v>83</v>
      </c>
      <c r="BG38" s="1">
        <f ca="1">IF(AND('Input data (2)'!$C$2=4,$D23&gt;=0),OFFSET('Input data (2)'!AN$126,'Input data (2)'!$BL$1-$D23,0),IF(AND('Input data (2)'!$C$2=3,$C23&gt;=0),OFFSET('Input data (2)'!AN$126,'Input data (2)'!$BL$1-$C23,0),IF(AND('Input data (2)'!$C$2=2,$B23&gt;=0),OFFSET('Input data (2)'!AN$126,'Input data (2)'!$BL$1-$B23,0),IF(AND('Input data (2)'!$C$2=1,$A23&gt;=0),OFFSET('Input data (2)'!AN$126,'Input data (2)'!$BL$1-$A23,0),""))))</f>
        <v>71</v>
      </c>
      <c r="BH38" s="1">
        <f ca="1">IF(AND('Input data (2)'!$C$2=4,$D23&gt;=0),OFFSET('Input data (2)'!AO$126,'Input data (2)'!$BL$1-$D23,0),IF(AND('Input data (2)'!$C$2=3,$C23&gt;=0),OFFSET('Input data (2)'!AO$126,'Input data (2)'!$BL$1-$C23,0),IF(AND('Input data (2)'!$C$2=2,$B23&gt;=0),OFFSET('Input data (2)'!AO$126,'Input data (2)'!$BL$1-$B23,0),IF(AND('Input data (2)'!$C$2=1,$A23&gt;=0),OFFSET('Input data (2)'!AO$126,'Input data (2)'!$BL$1-$A23,0),""))))</f>
        <v>12</v>
      </c>
      <c r="BJ38" s="1">
        <f ca="1">IF(AND('Input data (2)'!$C$2=4,$D23&gt;=0),OFFSET('Input data (2)'!AU$126,'Input data (2)'!$BL$1-$D23,0),IF(AND('Input data (2)'!$C$2=3,$C23&gt;=0),OFFSET('Input data (2)'!AU$126,'Input data (2)'!$BL$1-$C23,0),IF(AND('Input data (2)'!$C$2=2,$B23&gt;=0),OFFSET('Input data (2)'!AU$126,'Input data (2)'!$BL$1-$B23,0),IF(AND('Input data (2)'!$C$2=1,$A23&gt;=0),OFFSET('Input data (2)'!AU$126,'Input data (2)'!$BL$1-$A23,0),""))))</f>
        <v>36</v>
      </c>
      <c r="BK38" s="1">
        <f ca="1">IF(AND('Input data (2)'!$C$2=4,$D23&gt;=0),OFFSET('Input data (2)'!AV$126,'Input data (2)'!$BL$1-$D23,0),IF(AND('Input data (2)'!$C$2=3,$C23&gt;=0),OFFSET('Input data (2)'!AV$126,'Input data (2)'!$BL$1-$C23,0),IF(AND('Input data (2)'!$C$2=2,$B23&gt;=0),OFFSET('Input data (2)'!AV$126,'Input data (2)'!$BL$1-$B23,0),IF(AND('Input data (2)'!$C$2=1,$A23&gt;=0),OFFSET('Input data (2)'!AV$126,'Input data (2)'!$BL$1-$A23,0),""))))</f>
        <v>0</v>
      </c>
      <c r="BL38" s="1">
        <f ca="1">IF(AND('Input data (2)'!$C$2=4,$D23&gt;=0),OFFSET('Input data (2)'!AW$126,'Input data (2)'!$BL$1-$D23,0),IF(AND('Input data (2)'!$C$2=3,$C23&gt;=0),OFFSET('Input data (2)'!AW$126,'Input data (2)'!$BL$1-$C23,0),IF(AND('Input data (2)'!$C$2=2,$B23&gt;=0),OFFSET('Input data (2)'!AW$126,'Input data (2)'!$BL$1-$B23,0),IF(AND('Input data (2)'!$C$2=1,$A23&gt;=0),OFFSET('Input data (2)'!AW$126,'Input data (2)'!$BL$1-$A23,0),""))))</f>
        <v>5</v>
      </c>
      <c r="BM38" s="1">
        <f ca="1">IF(AND('Input data (2)'!$C$2=4,$D23&gt;=0),OFFSET('Input data (2)'!AX$126,'Input data (2)'!$BL$1-$D23,0),IF(AND('Input data (2)'!$C$2=3,$C23&gt;=0),OFFSET('Input data (2)'!AX$126,'Input data (2)'!$BL$1-$C23,0),IF(AND('Input data (2)'!$C$2=2,$B23&gt;=0),OFFSET('Input data (2)'!AX$126,'Input data (2)'!$BL$1-$B23,0),IF(AND('Input data (2)'!$C$2=1,$A23&gt;=0),OFFSET('Input data (2)'!AX$126,'Input data (2)'!$BL$1-$A23,0),""))))</f>
        <v>1</v>
      </c>
      <c r="BO38" s="1">
        <f ca="1">IF(AND('Input data (2)'!$C$2=4,$D23&gt;=0),OFFSET('Input data (2)'!BL$126,'Input data (2)'!$BL$1-$D23,0),IF(AND('Input data (2)'!$C$2=3,$C23&gt;=0),OFFSET('Input data (2)'!BL$126,'Input data (2)'!$BL$1-$C23,0),IF(AND('Input data (2)'!$C$2=2,$B23&gt;=0),OFFSET('Input data (2)'!BL$126,'Input data (2)'!$BL$1-$B23,0),IF(AND('Input data (2)'!$C$2=1,$A23&gt;=0),OFFSET('Input data (2)'!BL$126,'Input data (2)'!$BL$1-$A23,0),""))))</f>
        <v>319</v>
      </c>
      <c r="BP38" s="1">
        <f ca="1">IF(AND('Input data (2)'!$C$2=4,$D23&gt;=0),OFFSET('Input data (2)'!BI$126,'Input data (2)'!$BL$1-$D23,0),IF(AND('Input data (2)'!$C$2=3,$C23&gt;=0),OFFSET('Input data (2)'!BI$126,'Input data (2)'!$BL$1-$C23,0),IF(AND('Input data (2)'!$C$2=2,$B23&gt;=0),OFFSET('Input data (2)'!BI$126,'Input data (2)'!$BL$1-$B23,0),IF(AND('Input data (2)'!$C$2=1,$A23&gt;=0),OFFSET('Input data (2)'!BI$126,'Input data (2)'!$BL$1-$A23,0),""))))</f>
        <v>225</v>
      </c>
      <c r="BQ38" s="1" t="str">
        <f ca="1">IF(AND('Input data (2)'!$C$2=4,$D23&gt;=0),OFFSET('Input data (2)'!BK$126,'Input data (2)'!$BL$1-$D23,0),IF(AND('Input data (2)'!$C$2=3,$C23&gt;=0),OFFSET('Input data (2)'!BK$126,'Input data (2)'!$BL$1-$C23,0),IF(AND('Input data (2)'!$C$2=2,$B23&gt;=0),OFFSET('Input data (2)'!BK$126,'Input data (2)'!$BL$1-$B23,0),IF(AND('Input data (2)'!$C$2=1,$A23&gt;=0),OFFSET('Input data (2)'!BK$126,'Input data (2)'!$BL$1-$A23,0),""))))</f>
        <v>..</v>
      </c>
      <c r="BR38" s="1">
        <f ca="1">IF(AND('Input data (2)'!$C$2=4,$D23&gt;=0),OFFSET('Input data (2)'!BJ$126,'Input data (2)'!$BL$1-$D23,0),IF(AND('Input data (2)'!$C$2=3,$C23&gt;=0),OFFSET('Input data (2)'!BJ$126,'Input data (2)'!$BL$1-$C23,0),IF(AND('Input data (2)'!$C$2=2,$B23&gt;=0),OFFSET('Input data (2)'!BJ$126,'Input data (2)'!$BL$1-$B23,0),IF(AND('Input data (2)'!$C$2=1,$A23&gt;=0),OFFSET('Input data (2)'!BJ$126,'Input data (2)'!$BL$1-$A23,0),""))))</f>
        <v>94</v>
      </c>
      <c r="BS38" s="1">
        <f ca="1">IF(AND('Input data (2)'!$C$2=4,$D23&gt;=0),OFFSET('Input data (2)'!BF$126,'Input data (2)'!$BL$1-$D23,0),IF(AND('Input data (2)'!$C$2=3,$C23&gt;=0),OFFSET('Input data (2)'!BF$126,'Input data (2)'!$BL$1-$C23,0),IF(AND('Input data (2)'!$C$2=2,$B23&gt;=0),OFFSET('Input data (2)'!BF$126,'Input data (2)'!$BL$1-$B23,0),IF(AND('Input data (2)'!$C$2=1,$A23&gt;=0),OFFSET('Input data (2)'!BF$126,'Input data (2)'!$BL$1-$A23,0),""))))</f>
        <v>48</v>
      </c>
      <c r="BT38" s="1">
        <f ca="1">IF(AND('Input data (2)'!$C$2=4,$D23&gt;=0),OFFSET('Input data (2)'!BD$126,'Input data (2)'!$BL$1-$D23,0),IF(AND('Input data (2)'!$C$2=3,$C23&gt;=0),OFFSET('Input data (2)'!BD$126,'Input data (2)'!$BL$1-$C23,0),IF(AND('Input data (2)'!$C$2=2,$B23&gt;=0),OFFSET('Input data (2)'!BD$126,'Input data (2)'!$BL$1-$B23,0),IF(AND('Input data (2)'!$C$2=1,$A23&gt;=0),OFFSET('Input data (2)'!BD$126,'Input data (2)'!$BL$1-$A23,0),""))))</f>
        <v>36</v>
      </c>
      <c r="BU38" s="1">
        <f ca="1">IF(AND('Input data (2)'!$C$2=4,$D23&gt;=0),OFFSET('Input data (2)'!BE$126,'Input data (2)'!$BL$1-$D23,0),IF(AND('Input data (2)'!$C$2=3,$C23&gt;=0),OFFSET('Input data (2)'!BE$126,'Input data (2)'!$BL$1-$C23,0),IF(AND('Input data (2)'!$C$2=2,$B23&gt;=0),OFFSET('Input data (2)'!BE$126,'Input data (2)'!$BL$1-$B23,0),IF(AND('Input data (2)'!$C$2=1,$A23&gt;=0),OFFSET('Input data (2)'!BE$126,'Input data (2)'!$BL$1-$A23,0),""))))</f>
        <v>12</v>
      </c>
      <c r="BW38" s="7">
        <f ca="1">IF(AND('Input data (2)'!$C$2=4,$D23&gt;=0),OFFSET('Input data (2)'!J$126,'Input data (2)'!$BL$1-$D23,0),IF(AND('Input data (2)'!$C$2=3,$C23&gt;=0),OFFSET('Input data (2)'!J$126,'Input data (2)'!$BL$1-$C23,0),IF(AND('Input data (2)'!$C$2=2,$B23&gt;=0),OFFSET('Input data (2)'!J$126,'Input data (2)'!$BL$1-$B23,0),IF(AND('Input data (2)'!$C$2=1,$A23&gt;=0),OFFSET('Input data (2)'!J$126,'Input data (2)'!$BL$1-$A23,0),""))))</f>
        <v>0.60880591066602041</v>
      </c>
      <c r="BX38" s="7">
        <f ca="1">IF(AND('Input data (2)'!$C$2=4,$D23&gt;=0),OFFSET('Input data (2)'!K$126,'Input data (2)'!$BL$1-$D23,0),IF(AND('Input data (2)'!$C$2=3,$C23&gt;=0),OFFSET('Input data (2)'!K$126,'Input data (2)'!$BL$1-$C23,0),IF(AND('Input data (2)'!$C$2=2,$B23&gt;=0),OFFSET('Input data (2)'!K$126,'Input data (2)'!$BL$1-$B23,0),IF(AND('Input data (2)'!$C$2=1,$A23&gt;=0),OFFSET('Input data (2)'!K$126,'Input data (2)'!$BL$1-$A23,0),""))))</f>
        <v>0.55672367720313687</v>
      </c>
      <c r="BY38" s="7">
        <f ca="1">IF(AND('Input data (2)'!$C$2=4,$D23&gt;=0),OFFSET('Input data (2)'!AS$126,'Input data (2)'!$BL$1-$D23,0),IF(AND('Input data (2)'!$C$2=3,$C23&gt;=0),OFFSET('Input data (2)'!AS$126,'Input data (2)'!$BL$1-$C23,0),IF(AND('Input data (2)'!$C$2=2,$B23&gt;=0),OFFSET('Input data (2)'!AS$126,'Input data (2)'!$BL$1-$B23,0),IF(AND('Input data (2)'!$C$2=1,$A23&gt;=0),OFFSET('Input data (2)'!AS$126,'Input data (2)'!$BL$1-$A23,0),""))))</f>
        <v>0.43309232473085735</v>
      </c>
      <c r="BZ38" s="7">
        <f ca="1">IF(AND('Input data (2)'!$C$2=4,$D23&gt;=0),OFFSET('Input data (2)'!AT$126,'Input data (2)'!$BL$1-$D23,0),IF(AND('Input data (2)'!$C$2=3,$C23&gt;=0),OFFSET('Input data (2)'!AT$126,'Input data (2)'!$BL$1-$C23,0),IF(AND('Input data (2)'!$C$2=2,$B23&gt;=0),OFFSET('Input data (2)'!AT$126,'Input data (2)'!$BL$1-$B23,0),IF(AND('Input data (2)'!$C$2=1,$A23&gt;=0),OFFSET('Input data (2)'!AT$126,'Input data (2)'!$BL$1-$A23,0),""))))</f>
        <v>0.3951873657352758</v>
      </c>
      <c r="CB38" s="122"/>
      <c r="CC38" s="122"/>
      <c r="CD38" s="122"/>
      <c r="CE38" s="122"/>
      <c r="CG38" s="1">
        <v>6</v>
      </c>
      <c r="CI38" s="1">
        <f t="shared" ca="1" si="24"/>
        <v>2011</v>
      </c>
      <c r="CJ38" s="1" t="str">
        <f t="shared" si="25"/>
        <v>Q4</v>
      </c>
      <c r="CK38" s="1" t="str">
        <f t="shared" ca="1" si="12"/>
        <v>11</v>
      </c>
      <c r="CL38" s="1" t="str">
        <f t="shared" ca="1" si="13"/>
        <v>Q4 11</v>
      </c>
      <c r="CM38" s="1">
        <f ca="1">OFFSET('Input data (2)'!AJ$126,'Input data (2)'!$BL$1-'Output data - DO NOT TOUCH (2)'!$CG38,0)/1000</f>
        <v>9.1140000000000008</v>
      </c>
      <c r="CN38" s="1">
        <f ca="1">OFFSET('Input data (2)'!AK$126,'Input data (2)'!$BL$1-'Output data - DO NOT TOUCH (2)'!$CG38,0)/1000</f>
        <v>12.864000000000001</v>
      </c>
      <c r="CO38" s="1" t="e">
        <f ca="1">OFFSET('Input data (2)'!AL$126,'Input data (2)'!$BL$1-'Output data - DO NOT TOUCH (2)'!$CG38,0)/1000</f>
        <v>#VALUE!</v>
      </c>
      <c r="CP38" s="1"/>
      <c r="CQ38" s="1">
        <f ca="1">OFFSET('Input data (2)'!AG$126,'Input data (2)'!$BL$1-'Output data - DO NOT TOUCH (2)'!$CG38,0)/1000</f>
        <v>1.403</v>
      </c>
      <c r="CR38" s="1">
        <f ca="1">OFFSET('Input data (2)'!AH$126,'Input data (2)'!$BL$1-'Output data - DO NOT TOUCH (2)'!$CG38,0)/1000</f>
        <v>2.891</v>
      </c>
      <c r="CS38" s="1">
        <f ca="1">OFFSET('Input data (2)'!AI$126,'Input data (2)'!$BL$1-'Output data - DO NOT TOUCH (2)'!$CG38,0)/1000</f>
        <v>4.2939999999999996</v>
      </c>
      <c r="CT38" s="1"/>
      <c r="CU38" s="1">
        <f ca="1">OFFSET('Input data (2)'!L$126,'Input data (2)'!$BL$1-'Output data - DO NOT TOUCH (2)'!$CG38,0)</f>
        <v>324</v>
      </c>
      <c r="CV38" s="1">
        <f ca="1">OFFSET('Input data (2)'!M$126,'Input data (2)'!$BL$1-'Output data - DO NOT TOUCH (2)'!$CG38,0)</f>
        <v>0</v>
      </c>
      <c r="CW38" s="67">
        <f ca="1">OFFSET('Input data (2)'!N$126,'Input data (2)'!$BL$1-'Output data - DO NOT TOUCH (2)'!$CG38,0)</f>
        <v>658</v>
      </c>
      <c r="CX38" s="1">
        <f ca="1">OFFSET('Input data (2)'!P$126,'Input data (2)'!$BL$1-'Output data - DO NOT TOUCH (2)'!$CG38,0)</f>
        <v>191</v>
      </c>
      <c r="CY38" s="1"/>
      <c r="CZ38" s="1">
        <f ca="1">OFFSET('Input data (2)'!AY$126,'Input data (2)'!$BL$1-'Output data - DO NOT TOUCH (2)'!$CG38,0)/1000</f>
        <v>2.625</v>
      </c>
      <c r="DA38" s="1">
        <f ca="1">OFFSET('Input data (2)'!BA$126,'Input data (2)'!$BL$1-'Output data - DO NOT TOUCH (2)'!$CG38,0)/1000</f>
        <v>2.0489999999999999</v>
      </c>
      <c r="DB38" s="1">
        <f ca="1">OFFSET('Input data (2)'!BB$126,'Input data (2)'!$BL$1-'Output data - DO NOT TOUCH (2)'!$CG38,0)/1000</f>
        <v>4.6740000000000004</v>
      </c>
      <c r="DD38" s="1">
        <f ca="1">OFFSET('Input data (2)'!AN$126,'Input data (2)'!$BL$1-'Output data - DO NOT TOUCH (2)'!$CG38,0)</f>
        <v>213</v>
      </c>
      <c r="DE38" s="1">
        <f ca="1">OFFSET('Input data (2)'!AO$126,'Input data (2)'!$BL$1-'Output data - DO NOT TOUCH (2)'!$CG38,0)</f>
        <v>77</v>
      </c>
      <c r="DF38" s="1">
        <f ca="1">OFFSET('Input data (2)'!AP$126,'Input data (2)'!$BL$1-'Output data - DO NOT TOUCH (2)'!$CG38,0)</f>
        <v>290</v>
      </c>
      <c r="DG38" s="1"/>
      <c r="DH38" s="1">
        <f ca="1">OFFSET('Input data (2)'!AU$126,'Input data (2)'!$BL$1-'Output data - DO NOT TOUCH (2)'!$CG38,0)</f>
        <v>24</v>
      </c>
      <c r="DI38" s="1">
        <f ca="1">OFFSET('Input data (2)'!AV$126,'Input data (2)'!$BL$1-'Output data - DO NOT TOUCH (2)'!$CG38,0)</f>
        <v>0</v>
      </c>
      <c r="DJ38" s="1">
        <f ca="1">OFFSET('Input data (2)'!AW$126,'Input data (2)'!$BL$1-'Output data - DO NOT TOUCH (2)'!$CG38,0)</f>
        <v>66</v>
      </c>
      <c r="DK38" s="1">
        <f ca="1">OFFSET('Input data (2)'!AX$126,'Input data (2)'!$BL$1-'Output data - DO NOT TOUCH (2)'!$CG38,0)</f>
        <v>5</v>
      </c>
      <c r="DM38" s="1">
        <f ca="1">OFFSET('Input data (2)'!BI$126,'Input data (2)'!$BL$1-'Output data - DO NOT TOUCH (2)'!$CG38,0)</f>
        <v>412</v>
      </c>
      <c r="DN38" s="1">
        <f ca="1">OFFSET('Input data (2)'!BJ$126,'Input data (2)'!$BL$1-'Output data - DO NOT TOUCH (2)'!$CG38,0)</f>
        <v>297</v>
      </c>
      <c r="DO38" s="1">
        <f ca="1">OFFSET('Input data (2)'!BL$126,'Input data (2)'!$BL$1-'Output data - DO NOT TOUCH (2)'!$CG38,0)</f>
        <v>787</v>
      </c>
      <c r="DQ38" s="1">
        <f ca="1">OFFSET('Input data (2)'!BD$126,'Input data (2)'!$BL$1-'Output data - DO NOT TOUCH (2)'!$CG38,0)</f>
        <v>48</v>
      </c>
      <c r="DR38" s="1">
        <f ca="1">OFFSET('Input data (2)'!BE$126,'Input data (2)'!$BL$1-'Output data - DO NOT TOUCH (2)'!$CG38,0)</f>
        <v>29</v>
      </c>
      <c r="DS38" s="1">
        <f ca="1">OFFSET('Input data (2)'!BF$126,'Input data (2)'!$BL$1-'Output data - DO NOT TOUCH (2)'!$CG38,0)</f>
        <v>77</v>
      </c>
      <c r="DU38" s="1">
        <f ca="1">OFFSET('Input data (2)'!B$126,'Input data (2)'!$BL$1-'Output data - DO NOT TOUCH (2)'!$CG38-1,0)</f>
        <v>2011</v>
      </c>
      <c r="DV38" s="1" t="str">
        <f ca="1">OFFSET('Input data (2)'!C$126,'Input data (2)'!$BL$1-'Output data - DO NOT TOUCH (2)'!$CG38-1,0)</f>
        <v>Q3</v>
      </c>
      <c r="DW38" s="1" t="str">
        <f t="shared" ca="1" si="14"/>
        <v>11</v>
      </c>
      <c r="DX38" s="1" t="str">
        <f t="shared" ca="1" si="15"/>
        <v>Q3 11</v>
      </c>
      <c r="DY38" s="1">
        <f ca="1">OFFSET('Input data (2)'!W$126,'Input data (2)'!$BL$1-'Output data - DO NOT TOUCH (2)'!$CG38-1,0)/1000</f>
        <v>2.0350000000000001</v>
      </c>
      <c r="DZ38" s="1">
        <f ca="1">OFFSET('Input data (2)'!Y$126,'Input data (2)'!$BL$1-'Output data - DO NOT TOUCH (2)'!$CG38-1,0)/1000</f>
        <v>7.5430000000000001</v>
      </c>
      <c r="EA38" s="1">
        <f ca="1">OFFSET('Input data (2)'!Q$126,'Input data (2)'!$BL$1-'Output data - DO NOT TOUCH (2)'!$CG38-1,0)/1000</f>
        <v>9.5779999999999994</v>
      </c>
    </row>
    <row r="39" spans="1:131" x14ac:dyDescent="0.15">
      <c r="A39" s="1">
        <v>5</v>
      </c>
      <c r="B39" s="1">
        <v>6</v>
      </c>
      <c r="C39" s="1">
        <v>7</v>
      </c>
      <c r="D39" s="1">
        <v>4</v>
      </c>
      <c r="CG39" s="1">
        <v>5</v>
      </c>
      <c r="CI39" s="1">
        <f t="shared" ca="1" si="24"/>
        <v>2012</v>
      </c>
      <c r="CJ39" s="1" t="str">
        <f t="shared" si="25"/>
        <v>Q1</v>
      </c>
      <c r="CK39" s="1" t="str">
        <f t="shared" ca="1" si="12"/>
        <v>12</v>
      </c>
      <c r="CL39" s="1" t="str">
        <f t="shared" ca="1" si="13"/>
        <v>Q1 12</v>
      </c>
      <c r="CM39" s="1">
        <f ca="1">OFFSET('Input data (2)'!AJ$126,'Input data (2)'!$BL$1-'Output data - DO NOT TOUCH (2)'!$CG39,0)/1000</f>
        <v>8.5719999999999992</v>
      </c>
      <c r="CN39" s="1">
        <f ca="1">OFFSET('Input data (2)'!AK$126,'Input data (2)'!$BL$1-'Output data - DO NOT TOUCH (2)'!$CG39,0)/1000</f>
        <v>12.555</v>
      </c>
      <c r="CO39" s="1" t="e">
        <f ca="1">OFFSET('Input data (2)'!AL$126,'Input data (2)'!$BL$1-'Output data - DO NOT TOUCH (2)'!$CG39,0)/1000</f>
        <v>#VALUE!</v>
      </c>
      <c r="CP39" s="1"/>
      <c r="CQ39" s="1">
        <f ca="1">OFFSET('Input data (2)'!AG$126,'Input data (2)'!$BL$1-'Output data - DO NOT TOUCH (2)'!$CG39,0)/1000</f>
        <v>1.204</v>
      </c>
      <c r="CR39" s="1">
        <f ca="1">OFFSET('Input data (2)'!AH$126,'Input data (2)'!$BL$1-'Output data - DO NOT TOUCH (2)'!$CG39,0)/1000</f>
        <v>3.093</v>
      </c>
      <c r="CS39" s="1">
        <f ca="1">OFFSET('Input data (2)'!AI$126,'Input data (2)'!$BL$1-'Output data - DO NOT TOUCH (2)'!$CG39,0)/1000</f>
        <v>4.2969999999999997</v>
      </c>
      <c r="CT39" s="1"/>
      <c r="CU39" s="1">
        <f ca="1">OFFSET('Input data (2)'!L$126,'Input data (2)'!$BL$1-'Output data - DO NOT TOUCH (2)'!$CG39,0)</f>
        <v>336</v>
      </c>
      <c r="CV39" s="1">
        <f ca="1">OFFSET('Input data (2)'!M$126,'Input data (2)'!$BL$1-'Output data - DO NOT TOUCH (2)'!$CG39,0)</f>
        <v>0</v>
      </c>
      <c r="CW39" s="67">
        <f ca="1">OFFSET('Input data (2)'!N$126,'Input data (2)'!$BL$1-'Output data - DO NOT TOUCH (2)'!$CG39,0)</f>
        <v>779</v>
      </c>
      <c r="CX39" s="1">
        <f ca="1">OFFSET('Input data (2)'!P$126,'Input data (2)'!$BL$1-'Output data - DO NOT TOUCH (2)'!$CG39,0)</f>
        <v>175</v>
      </c>
      <c r="CY39" s="1"/>
      <c r="CZ39" s="1">
        <f ca="1">OFFSET('Input data (2)'!AY$126,'Input data (2)'!$BL$1-'Output data - DO NOT TOUCH (2)'!$CG39,0)/1000</f>
        <v>2.6259999999999999</v>
      </c>
      <c r="DA39" s="1">
        <f ca="1">OFFSET('Input data (2)'!BA$126,'Input data (2)'!$BL$1-'Output data - DO NOT TOUCH (2)'!$CG39,0)/1000</f>
        <v>2.2469999999999999</v>
      </c>
      <c r="DB39" s="1">
        <f ca="1">OFFSET('Input data (2)'!BB$126,'Input data (2)'!$BL$1-'Output data - DO NOT TOUCH (2)'!$CG39,0)/1000</f>
        <v>4.8730000000000002</v>
      </c>
      <c r="DD39" s="1">
        <f ca="1">OFFSET('Input data (2)'!AN$126,'Input data (2)'!$BL$1-'Output data - DO NOT TOUCH (2)'!$CG39,0)</f>
        <v>311</v>
      </c>
      <c r="DE39" s="1">
        <f ca="1">OFFSET('Input data (2)'!AO$126,'Input data (2)'!$BL$1-'Output data - DO NOT TOUCH (2)'!$CG39,0)</f>
        <v>66</v>
      </c>
      <c r="DF39" s="1">
        <f ca="1">OFFSET('Input data (2)'!AP$126,'Input data (2)'!$BL$1-'Output data - DO NOT TOUCH (2)'!$CG39,0)</f>
        <v>377</v>
      </c>
      <c r="DG39" s="1"/>
      <c r="DH39" s="1">
        <f ca="1">OFFSET('Input data (2)'!AU$126,'Input data (2)'!$BL$1-'Output data - DO NOT TOUCH (2)'!$CG39,0)</f>
        <v>6</v>
      </c>
      <c r="DI39" s="1">
        <f ca="1">OFFSET('Input data (2)'!AV$126,'Input data (2)'!$BL$1-'Output data - DO NOT TOUCH (2)'!$CG39,0)</f>
        <v>0</v>
      </c>
      <c r="DJ39" s="1">
        <f ca="1">OFFSET('Input data (2)'!AW$126,'Input data (2)'!$BL$1-'Output data - DO NOT TOUCH (2)'!$CG39,0)</f>
        <v>49</v>
      </c>
      <c r="DK39" s="1">
        <f ca="1">OFFSET('Input data (2)'!AX$126,'Input data (2)'!$BL$1-'Output data - DO NOT TOUCH (2)'!$CG39,0)</f>
        <v>1</v>
      </c>
      <c r="DM39" s="1">
        <f ca="1">OFFSET('Input data (2)'!BI$126,'Input data (2)'!$BL$1-'Output data - DO NOT TOUCH (2)'!$CG39,0)</f>
        <v>405</v>
      </c>
      <c r="DN39" s="1">
        <f ca="1">OFFSET('Input data (2)'!BJ$126,'Input data (2)'!$BL$1-'Output data - DO NOT TOUCH (2)'!$CG39,0)</f>
        <v>276</v>
      </c>
      <c r="DO39" s="1">
        <f ca="1">OFFSET('Input data (2)'!BL$126,'Input data (2)'!$BL$1-'Output data - DO NOT TOUCH (2)'!$CG39,0)</f>
        <v>794</v>
      </c>
      <c r="DQ39" s="1">
        <f ca="1">OFFSET('Input data (2)'!BD$126,'Input data (2)'!$BL$1-'Output data - DO NOT TOUCH (2)'!$CG39,0)</f>
        <v>72</v>
      </c>
      <c r="DR39" s="1">
        <f ca="1">OFFSET('Input data (2)'!BE$126,'Input data (2)'!$BL$1-'Output data - DO NOT TOUCH (2)'!$CG39,0)</f>
        <v>39</v>
      </c>
      <c r="DS39" s="1">
        <f ca="1">OFFSET('Input data (2)'!BF$126,'Input data (2)'!$BL$1-'Output data - DO NOT TOUCH (2)'!$CG39,0)</f>
        <v>111</v>
      </c>
      <c r="DU39" s="1">
        <f ca="1">OFFSET('Input data (2)'!B$126,'Input data (2)'!$BL$1-'Output data - DO NOT TOUCH (2)'!$CG39-1,0)</f>
        <v>2011</v>
      </c>
      <c r="DV39" s="1" t="str">
        <f ca="1">OFFSET('Input data (2)'!C$126,'Input data (2)'!$BL$1-'Output data - DO NOT TOUCH (2)'!$CG39-1,0)</f>
        <v>Q4</v>
      </c>
      <c r="DW39" s="1" t="str">
        <f t="shared" ca="1" si="14"/>
        <v>11</v>
      </c>
      <c r="DX39" s="1" t="str">
        <f t="shared" ca="1" si="15"/>
        <v>Q4 11</v>
      </c>
      <c r="DY39" s="1">
        <f ca="1">OFFSET('Input data (2)'!W$126,'Input data (2)'!$BL$1-'Output data - DO NOT TOUCH (2)'!$CG39-1,0)/1000</f>
        <v>1.9550000000000001</v>
      </c>
      <c r="DZ39" s="1">
        <f ca="1">OFFSET('Input data (2)'!Y$126,'Input data (2)'!$BL$1-'Output data - DO NOT TOUCH (2)'!$CG39-1,0)/1000</f>
        <v>6.7030000000000003</v>
      </c>
      <c r="EA39" s="1">
        <f ca="1">OFFSET('Input data (2)'!Q$126,'Input data (2)'!$BL$1-'Output data - DO NOT TOUCH (2)'!$CG39-1,0)/1000</f>
        <v>8.6579999999999995</v>
      </c>
    </row>
    <row r="40" spans="1:131" x14ac:dyDescent="0.15">
      <c r="A40" s="1">
        <v>4</v>
      </c>
      <c r="B40" s="1">
        <v>5</v>
      </c>
      <c r="C40" s="1">
        <v>6</v>
      </c>
      <c r="D40" s="1">
        <v>3</v>
      </c>
      <c r="E40" s="1" t="str">
        <f>F40&amp;G40</f>
        <v>2008Q1</v>
      </c>
      <c r="F40" s="1">
        <f>F35+1</f>
        <v>2008</v>
      </c>
      <c r="G40" s="1" t="s">
        <v>1</v>
      </c>
      <c r="H40" s="1">
        <f>VLOOKUP($E40,'Input data (2)'!$A:$BL,'Output data - DO NOT TOUCH (2)'!H$71,FALSE)</f>
        <v>3262</v>
      </c>
      <c r="I40" s="1">
        <f>VLOOKUP($E40,'Input data (2)'!$A:$BL,'Output data - DO NOT TOUCH (2)'!I$71,FALSE)</f>
        <v>1080</v>
      </c>
      <c r="J40" s="1">
        <f>VLOOKUP($E40,'Input data (2)'!$A:$BL,'Output data - DO NOT TOUCH (2)'!J$71,FALSE)</f>
        <v>2182</v>
      </c>
      <c r="K40" s="1">
        <f>VLOOKUP($E40,'Input data (2)'!$A:$BL,'Output data - DO NOT TOUCH (2)'!K$71,FALSE)</f>
        <v>3226</v>
      </c>
      <c r="L40" s="1">
        <f>VLOOKUP($E40,'Input data (2)'!$A:$BL,'Output data - DO NOT TOUCH (2)'!L$71,FALSE)</f>
        <v>1166</v>
      </c>
      <c r="M40" s="1">
        <f>VLOOKUP($E40,'Input data (2)'!$A:$BL,'Output data - DO NOT TOUCH (2)'!M$71,FALSE)</f>
        <v>2060</v>
      </c>
      <c r="O40" s="119">
        <f ca="1">IF(AND('Input data (2)'!$C$2=4,$D24&gt;=0),OFFSET('Input data (2)'!O$126,'Input data (2)'!$BL$1-$D24,0),IF(AND('Input data (2)'!$C$2=3,$C24&gt;=0),OFFSET('Input data (2)'!O$126,'Input data (2)'!$BL$1-$C24,0),IF(AND('Input data (2)'!$C$2=2,$B24&gt;=0),OFFSET('Input data (2)'!O$126,'Input data (2)'!$BL$1-$B24,0),IF(AND('Input data (2)'!$C$2=1,$A24&gt;=0),OFFSET('Input data (2)'!O$126,'Input data (2)'!$BL$1-$A24,0),""))))</f>
        <v>270</v>
      </c>
      <c r="Q40" s="1">
        <f ca="1">IF(AND('Input data (2)'!$C$2=4,$D24&gt;=0),OFFSET('Input data (2)'!AC$126,'Input data (2)'!$BL$1-$D24,0),IF(AND('Input data (2)'!$C$2=3,$C24&gt;=0),OFFSET('Input data (2)'!AC$126,'Input data (2)'!$BL$1-$C24,0),IF(AND('Input data (2)'!$C$2=2,$B24&gt;=0),OFFSET('Input data (2)'!AC$126,'Input data (2)'!$BL$1-$B24,0),IF(AND('Input data (2)'!$C$2=1,$A24&gt;=0),OFFSET('Input data (2)'!AC$126,'Input data (2)'!$BL$1-$A24,0),""))))</f>
        <v>24619</v>
      </c>
      <c r="R40" s="1">
        <f ca="1">IF(AND('Input data (2)'!$C$2=4,$D24&gt;=0),OFFSET('Input data (2)'!Q$126,'Input data (2)'!$BL$1-$D24,0),IF(AND('Input data (2)'!$C$2=3,$C24&gt;=0),OFFSET('Input data (2)'!Q$126,'Input data (2)'!$BL$1-$C24,0),IF(AND('Input data (2)'!$C$2=2,$B24&gt;=0),OFFSET('Input data (2)'!Q$126,'Input data (2)'!$BL$1-$B24,0),IF(AND('Input data (2)'!$C$2=1,$A24&gt;=0),OFFSET('Input data (2)'!Q$126,'Input data (2)'!$BL$1-$A24,0),""))))</f>
        <v>15814</v>
      </c>
      <c r="S40" s="1" t="str">
        <f ca="1">IF(AND('Input data (2)'!$C$2=4,$D24&gt;=0),OFFSET('Input data (2)'!R$126,'Input data (2)'!$BL$1-$D24,0),IF(AND('Input data (2)'!$C$2=3,$C24&gt;=0),OFFSET('Input data (2)'!R$126,'Input data (2)'!$BL$1-$C24,0),IF(AND('Input data (2)'!$C$2=2,$B24&gt;=0),OFFSET('Input data (2)'!R$126,'Input data (2)'!$BL$1-$B24,0),IF(AND('Input data (2)'!$C$2=1,$A24&gt;=0),OFFSET('Input data (2)'!R$126,'Input data (2)'!$BL$1-$A24,0),""))))</f>
        <v>:</v>
      </c>
      <c r="T40" s="1">
        <f ca="1">IF(AND('Input data (2)'!$C$2=4,$D24&gt;=0),OFFSET('Input data (2)'!AA$126,'Input data (2)'!$BL$1-$D24,0),IF(AND('Input data (2)'!$C$2=3,$C24&gt;=0),OFFSET('Input data (2)'!AA$126,'Input data (2)'!$BL$1-$C24,0),IF(AND('Input data (2)'!$C$2=2,$B24&gt;=0),OFFSET('Input data (2)'!AA$126,'Input data (2)'!$BL$1-$B24,0),IF(AND('Input data (2)'!$C$2=1,$A24&gt;=0),OFFSET('Input data (2)'!AA$126,'Input data (2)'!$BL$1-$A24,0),""))))</f>
        <v>8805</v>
      </c>
      <c r="U40" s="1">
        <f ca="1">IF(AND('Input data (2)'!$C$2=4,$D24&gt;=0),OFFSET('Input data (2)'!AL$126,'Input data (2)'!$BL$1-$D24,0),IF(AND('Input data (2)'!$C$2=3,$C24&gt;=0),OFFSET('Input data (2)'!AL$126,'Input data (2)'!$BL$1-$C24,0),IF(AND('Input data (2)'!$C$2=2,$B24&gt;=0),OFFSET('Input data (2)'!AL$126,'Input data (2)'!$BL$1-$B24,0),IF(AND('Input data (2)'!$C$2=1,$A24&gt;=0),OFFSET('Input data (2)'!AL$126,'Input data (2)'!$BL$1-$A24,0),""))))</f>
        <v>25123</v>
      </c>
      <c r="V40" s="1">
        <f ca="1">IF(AND('Input data (2)'!$C$2=4,$D24&gt;=0),OFFSET('Input data (2)'!AJ$126,'Input data (2)'!$BL$1-$D24,0),IF(AND('Input data (2)'!$C$2=3,$C24&gt;=0),OFFSET('Input data (2)'!AJ$126,'Input data (2)'!$BL$1-$C24,0),IF(AND('Input data (2)'!$C$2=2,$B24&gt;=0),OFFSET('Input data (2)'!AJ$126,'Input data (2)'!$BL$1-$B24,0),IF(AND('Input data (2)'!$C$2=1,$A24&gt;=0),OFFSET('Input data (2)'!AJ$126,'Input data (2)'!$BL$1-$A24,0),""))))</f>
        <v>15482</v>
      </c>
      <c r="W40" s="1">
        <f ca="1">IF(AND('Input data (2)'!$C$2=4,$D24&gt;=0),OFFSET('Input data (2)'!AK$126,'Input data (2)'!$BL$1-$D24,0),IF(AND('Input data (2)'!$C$2=3,$C24&gt;=0),OFFSET('Input data (2)'!AK$126,'Input data (2)'!$BL$1-$C24,0),IF(AND('Input data (2)'!$C$2=2,$B24&gt;=0),OFFSET('Input data (2)'!AK$126,'Input data (2)'!$BL$1-$B24,0),IF(AND('Input data (2)'!$C$2=1,$A24&gt;=0),OFFSET('Input data (2)'!AK$126,'Input data (2)'!$BL$1-$A24,0),""))))</f>
        <v>9641</v>
      </c>
      <c r="Y40" s="1">
        <f ca="1">IF(AND('Input data (2)'!$C$2=4,$D24&gt;=0),OFFSET('Input data (2)'!Q$126,'Input data (2)'!$BL$1-$D24,0),IF(AND('Input data (2)'!$C$2=3,$C24&gt;=0),OFFSET('Input data (2)'!Q$126,'Input data (2)'!$BL$1-$C24,0),IF(AND('Input data (2)'!$C$2=2,$B24&gt;=0),OFFSET('Input data (2)'!Q$126,'Input data (2)'!$BL$1-$B24,0),IF(AND('Input data (2)'!$C$2=1,$A24&gt;=0),OFFSET('Input data (2)'!Q$126,'Input data (2)'!$BL$1-$A24,0),""))))</f>
        <v>15814</v>
      </c>
      <c r="Z40" s="1">
        <f ca="1">IF(AND('Input data (2)'!$C$2=4,$D24&gt;=0),OFFSET('Input data (2)'!S$126,'Input data (2)'!$BL$1-$D24,0),IF(AND('Input data (2)'!$C$2=3,$C24&gt;=0),OFFSET('Input data (2)'!S$126,'Input data (2)'!$BL$1-$C24,0),IF(AND('Input data (2)'!$C$2=2,$B24&gt;=0),OFFSET('Input data (2)'!S$126,'Input data (2)'!$BL$1-$B24,0),IF(AND('Input data (2)'!$C$2=1,$A24&gt;=0),OFFSET('Input data (2)'!S$126,'Input data (2)'!$BL$1-$A24,0),""))))</f>
        <v>13275</v>
      </c>
      <c r="AA40" s="1">
        <f ca="1">IF(AND('Input data (2)'!$C$2=4,$D24&gt;=0),OFFSET('Input data (2)'!T$126,'Input data (2)'!$BL$1-$D24,0),IF(AND('Input data (2)'!$C$2=3,$C24&gt;=0),OFFSET('Input data (2)'!T$126,'Input data (2)'!$BL$1-$C24,0),IF(AND('Input data (2)'!$C$2=2,$B24&gt;=0),OFFSET('Input data (2)'!T$126,'Input data (2)'!$BL$1-$B24,0),IF(AND('Input data (2)'!$C$2=1,$A24&gt;=0),OFFSET('Input data (2)'!T$126,'Input data (2)'!$BL$1-$A24,0),""))))</f>
        <v>83.944606045276345</v>
      </c>
      <c r="AB40" s="1">
        <f ca="1">IF(AND('Input data (2)'!$C$2=4,$D24&gt;=0),OFFSET('Input data (2)'!U$126,'Input data (2)'!$BL$1-$D24,0),IF(AND('Input data (2)'!$C$2=3,$C24&gt;=0),OFFSET('Input data (2)'!U$126,'Input data (2)'!$BL$1-$C24,0),IF(AND('Input data (2)'!$C$2=2,$B24&gt;=0),OFFSET('Input data (2)'!U$126,'Input data (2)'!$BL$1-$B24,0),IF(AND('Input data (2)'!$C$2=1,$A24&gt;=0),OFFSET('Input data (2)'!U$126,'Input data (2)'!$BL$1-$A24,0),""))))</f>
        <v>2539</v>
      </c>
      <c r="AC40" s="1">
        <f ca="1">IF(AND('Input data (2)'!$C$2=4,$D24&gt;=0),OFFSET('Input data (2)'!V$126,'Input data (2)'!$BL$1-$D24,0),IF(AND('Input data (2)'!$C$2=3,$C24&gt;=0),OFFSET('Input data (2)'!V$126,'Input data (2)'!$BL$1-$C24,0),IF(AND('Input data (2)'!$C$2=2,$B24&gt;=0),OFFSET('Input data (2)'!V$126,'Input data (2)'!$BL$1-$B24,0),IF(AND('Input data (2)'!$C$2=1,$A24&gt;=0),OFFSET('Input data (2)'!V$126,'Input data (2)'!$BL$1-$A24,0),""))))</f>
        <v>16.055393954723662</v>
      </c>
      <c r="AD40" s="1">
        <f ca="1">IF(AND('Input data (2)'!$C$2=4,$D24&gt;=0),OFFSET('Input data (2)'!Q$126,'Input data (2)'!$BL$1-$D24,0),IF(AND('Input data (2)'!$C$2=3,$C24&gt;=0),OFFSET('Input data (2)'!Q$126,'Input data (2)'!$BL$1-$C24,0),IF(AND('Input data (2)'!$C$2=2,$B24&gt;=0),OFFSET('Input data (2)'!Q$126,'Input data (2)'!$BL$1-$B24,0),IF(AND('Input data (2)'!$C$2=1,$A24&gt;=0),OFFSET('Input data (2)'!Q$126,'Input data (2)'!$BL$1-$A24,0),""))))</f>
        <v>15814</v>
      </c>
      <c r="AE40" s="1">
        <f ca="1">IF(AND('Input data (2)'!$C$2=4,$D24&gt;=0),OFFSET('Input data (2)'!W$126,'Input data (2)'!$BL$1-$D24,0),IF(AND('Input data (2)'!$C$2=3,$C24&gt;=0),OFFSET('Input data (2)'!W$126,'Input data (2)'!$BL$1-$C24,0),IF(AND('Input data (2)'!$C$2=2,$B24&gt;=0),OFFSET('Input data (2)'!W$126,'Input data (2)'!$BL$1-$B24,0),IF(AND('Input data (2)'!$C$2=1,$A24&gt;=0),OFFSET('Input data (2)'!W$126,'Input data (2)'!$BL$1-$A24,0),""))))</f>
        <v>1915</v>
      </c>
      <c r="AF40" s="1">
        <f ca="1">IF(AND('Input data (2)'!$C$2=4,$D24&gt;=0),OFFSET('Input data (2)'!X$126,'Input data (2)'!$BL$1-$D24,0),IF(AND('Input data (2)'!$C$2=3,$C24&gt;=0),OFFSET('Input data (2)'!X$126,'Input data (2)'!$BL$1-$C24,0),IF(AND('Input data (2)'!$C$2=2,$B24&gt;=0),OFFSET('Input data (2)'!X$126,'Input data (2)'!$BL$1-$B24,0),IF(AND('Input data (2)'!$C$2=1,$A24&gt;=0),OFFSET('Input data (2)'!X$126,'Input data (2)'!$BL$1-$A24,0),""))))</f>
        <v>12.109523207284685</v>
      </c>
      <c r="AG40" s="1">
        <f ca="1">IF(AND('Input data (2)'!$C$2=4,$D24&gt;=0),OFFSET('Input data (2)'!Y$126,'Input data (2)'!$BL$1-$D24,0),IF(AND('Input data (2)'!$C$2=3,$C24&gt;=0),OFFSET('Input data (2)'!Y$126,'Input data (2)'!$BL$1-$C24,0),IF(AND('Input data (2)'!$C$2=2,$B24&gt;=0),OFFSET('Input data (2)'!Y$126,'Input data (2)'!$BL$1-$B24,0),IF(AND('Input data (2)'!$C$2=1,$A24&gt;=0),OFFSET('Input data (2)'!Y$126,'Input data (2)'!$BL$1-$A24,0),""))))</f>
        <v>13899</v>
      </c>
      <c r="AH40" s="1">
        <f ca="1">IF(AND('Input data (2)'!$C$2=4,$D24&gt;=0),OFFSET('Input data (2)'!Z$126,'Input data (2)'!$BL$1-$D24,0),IF(AND('Input data (2)'!$C$2=3,$C24&gt;=0),OFFSET('Input data (2)'!Z$126,'Input data (2)'!$BL$1-$C24,0),IF(AND('Input data (2)'!$C$2=2,$B24&gt;=0),OFFSET('Input data (2)'!Z$126,'Input data (2)'!$BL$1-$B24,0),IF(AND('Input data (2)'!$C$2=1,$A24&gt;=0),OFFSET('Input data (2)'!Z$126,'Input data (2)'!$BL$1-$A24,0),""))))</f>
        <v>87.890476792715305</v>
      </c>
      <c r="AI40" s="3"/>
      <c r="AJ40" s="124">
        <f ca="1">IF(AND('Input data (2)'!$C$2=4,$D24&gt;=0),OFFSET('Input data (2)'!AF$126,'Input data (2)'!$BL$1-$D24,0),IF(AND('Input data (2)'!$C$2=3,$C24&gt;=0),OFFSET('Input data (2)'!AF$126,'Input data (2)'!$BL$1-$C24,0),IF(AND('Input data (2)'!$C$2=2,$B24&gt;=0),OFFSET('Input data (2)'!AF$126,'Input data (2)'!$BL$1-$B24,0),IF(AND('Input data (2)'!$C$2=1,$A24&gt;=0),OFFSET('Input data (2)'!AF$126,'Input data (2)'!$BL$1-$A24,0),""))))</f>
        <v>2169</v>
      </c>
      <c r="AK40" s="124">
        <f ca="1">IF(AND('Input data (2)'!$C$2=4,$D24&gt;=0),OFFSET('Input data (2)'!AD$126,'Input data (2)'!$BL$1-$D24,0),IF(AND('Input data (2)'!$C$2=3,$C24&gt;=0),OFFSET('Input data (2)'!AD$126,'Input data (2)'!$BL$1-$C24,0),IF(AND('Input data (2)'!$C$2=2,$B24&gt;=0),OFFSET('Input data (2)'!AD$126,'Input data (2)'!$BL$1-$B24,0),IF(AND('Input data (2)'!$C$2=1,$A24&gt;=0),OFFSET('Input data (2)'!AD$126,'Input data (2)'!$BL$1-$A24,0),""))))</f>
        <v>18</v>
      </c>
      <c r="AL40" s="124">
        <f ca="1">IF(AND('Input data (2)'!$C$2=4,$D24&gt;=0),OFFSET('Input data (2)'!AE$126,'Input data (2)'!$BL$1-$D24,0),IF(AND('Input data (2)'!$C$2=3,$C24&gt;=0),OFFSET('Input data (2)'!AE$126,'Input data (2)'!$BL$1-$C24,0),IF(AND('Input data (2)'!$C$2=2,$B24&gt;=0),OFFSET('Input data (2)'!AE$126,'Input data (2)'!$BL$1-$B24,0),IF(AND('Input data (2)'!$C$2=1,$A24&gt;=0),OFFSET('Input data (2)'!AE$126,'Input data (2)'!$BL$1-$A24,0),""))))</f>
        <v>2151</v>
      </c>
      <c r="AW40" s="1">
        <f ca="1">IF(AND('Input data (2)'!$C$2=4,$D24&gt;=0),OFFSET('Input data (2)'!L$126,'Input data (2)'!$BL$1-$D24,0),IF(AND('Input data (2)'!$C$2=3,$C24&gt;=0),OFFSET('Input data (2)'!L$126,'Input data (2)'!$BL$1-$C24,0),IF(AND('Input data (2)'!$C$2=2,$B24&gt;=0),OFFSET('Input data (2)'!L$126,'Input data (2)'!$BL$1-$B24,0),IF(AND('Input data (2)'!$C$2=1,$A24&gt;=0),OFFSET('Input data (2)'!L$126,'Input data (2)'!$BL$1-$A24,0),""))))</f>
        <v>159</v>
      </c>
      <c r="AX40" s="1">
        <f ca="1">IF(AND('Input data (2)'!$C$2=4,$D24&gt;=0),OFFSET('Input data (2)'!M$126,'Input data (2)'!$BL$1-$D24,0),IF(AND('Input data (2)'!$C$2=3,$C24&gt;=0),OFFSET('Input data (2)'!M$126,'Input data (2)'!$BL$1-$C24,0),IF(AND('Input data (2)'!$C$2=2,$B24&gt;=0),OFFSET('Input data (2)'!M$126,'Input data (2)'!$BL$1-$B24,0),IF(AND('Input data (2)'!$C$2=1,$A24&gt;=0),OFFSET('Input data (2)'!M$126,'Input data (2)'!$BL$1-$A24,0),""))))</f>
        <v>1</v>
      </c>
      <c r="AY40" s="1">
        <f ca="1">IF(AND('Input data (2)'!$C$2=4,$D24&gt;=0),OFFSET('Input data (2)'!N$126,'Input data (2)'!$BL$1-$D24,0),IF(AND('Input data (2)'!$C$2=3,$C24&gt;=0),OFFSET('Input data (2)'!N$126,'Input data (2)'!$BL$1-$C24,0),IF(AND('Input data (2)'!$C$2=2,$B24&gt;=0),OFFSET('Input data (2)'!N$126,'Input data (2)'!$BL$1-$B24,0),IF(AND('Input data (2)'!$C$2=1,$A24&gt;=0),OFFSET('Input data (2)'!N$126,'Input data (2)'!$BL$1-$A24,0),""))))</f>
        <v>858</v>
      </c>
      <c r="AZ40" s="1">
        <f ca="1">IF(AND('Input data (2)'!$C$2=4,$D24&gt;=0),OFFSET('Input data (2)'!P$126,'Input data (2)'!$BL$1-$D24,0),IF(AND('Input data (2)'!$C$2=3,$C24&gt;=0),OFFSET('Input data (2)'!P$126,'Input data (2)'!$BL$1-$C24,0),IF(AND('Input data (2)'!$C$2=2,$B24&gt;=0),OFFSET('Input data (2)'!P$126,'Input data (2)'!$BL$1-$B24,0),IF(AND('Input data (2)'!$C$2=1,$A24&gt;=0),OFFSET('Input data (2)'!P$126,'Input data (2)'!$BL$1-$A24,0),""))))</f>
        <v>140</v>
      </c>
      <c r="BB40" s="1">
        <f ca="1">IF(AND('Input data (2)'!$C$2=4,$D24&gt;=0),OFFSET('Input data (2)'!BB$126,'Input data (2)'!$BL$1-$D24,0),IF(AND('Input data (2)'!$C$2=3,$C24&gt;=0),OFFSET('Input data (2)'!BB$126,'Input data (2)'!$BL$1-$C24,0),IF(AND('Input data (2)'!$C$2=2,$B24&gt;=0),OFFSET('Input data (2)'!BB$126,'Input data (2)'!$BL$1-$B24,0),IF(AND('Input data (2)'!$C$2=1,$A24&gt;=0),OFFSET('Input data (2)'!BB$126,'Input data (2)'!$BL$1-$A24,0),""))))</f>
        <v>3324</v>
      </c>
      <c r="BC40" s="1">
        <f ca="1">IF(AND('Input data (2)'!$C$2=4,$D24&gt;=0),OFFSET('Input data (2)'!AY$126,'Input data (2)'!$BL$1-$D24,0),IF(AND('Input data (2)'!$C$2=3,$C24&gt;=0),OFFSET('Input data (2)'!AY$126,'Input data (2)'!$BL$1-$C24,0),IF(AND('Input data (2)'!$C$2=2,$B24&gt;=0),OFFSET('Input data (2)'!AY$126,'Input data (2)'!$BL$1-$B24,0),IF(AND('Input data (2)'!$C$2=1,$A24&gt;=0),OFFSET('Input data (2)'!AY$126,'Input data (2)'!$BL$1-$A24,0),""))))</f>
        <v>1444</v>
      </c>
      <c r="BD40" s="1" t="str">
        <f ca="1">IF(AND('Input data (2)'!$C$2=4,$D24&gt;=0),OFFSET('Input data (2)'!AZ$126,'Input data (2)'!$BL$1-$D24,0),IF(AND('Input data (2)'!$C$2=3,$C24&gt;=0),OFFSET('Input data (2)'!AZ$126,'Input data (2)'!$BL$1-$C24,0),IF(AND('Input data (2)'!$C$2=2,$B24&gt;=0),OFFSET('Input data (2)'!AZ$126,'Input data (2)'!$BL$1-$B24,0),IF(AND('Input data (2)'!$C$2=1,$A24&gt;=0),OFFSET('Input data (2)'!AZ$126,'Input data (2)'!$BL$1-$A24,0),""))))</f>
        <v>:</v>
      </c>
      <c r="BE40" s="1">
        <f ca="1">IF(AND('Input data (2)'!$C$2=4,$D24&gt;=0),OFFSET('Input data (2)'!BA$126,'Input data (2)'!$BL$1-$D24,0),IF(AND('Input data (2)'!$C$2=3,$C24&gt;=0),OFFSET('Input data (2)'!BA$126,'Input data (2)'!$BL$1-$C24,0),IF(AND('Input data (2)'!$C$2=2,$B24&gt;=0),OFFSET('Input data (2)'!BA$126,'Input data (2)'!$BL$1-$B24,0),IF(AND('Input data (2)'!$C$2=1,$A24&gt;=0),OFFSET('Input data (2)'!BA$126,'Input data (2)'!$BL$1-$A24,0),""))))</f>
        <v>1880</v>
      </c>
      <c r="BF40" s="1">
        <f ca="1">IF(AND('Input data (2)'!$C$2=4,$D24&gt;=0),OFFSET('Input data (2)'!AP$126,'Input data (2)'!$BL$1-$D24,0),IF(AND('Input data (2)'!$C$2=3,$C24&gt;=0),OFFSET('Input data (2)'!AP$126,'Input data (2)'!$BL$1-$C24,0),IF(AND('Input data (2)'!$C$2=2,$B24&gt;=0),OFFSET('Input data (2)'!AP$126,'Input data (2)'!$BL$1-$B24,0),IF(AND('Input data (2)'!$C$2=1,$A24&gt;=0),OFFSET('Input data (2)'!AP$126,'Input data (2)'!$BL$1-$A24,0),""))))</f>
        <v>102</v>
      </c>
      <c r="BG40" s="1">
        <f ca="1">IF(AND('Input data (2)'!$C$2=4,$D24&gt;=0),OFFSET('Input data (2)'!AN$126,'Input data (2)'!$BL$1-$D24,0),IF(AND('Input data (2)'!$C$2=3,$C24&gt;=0),OFFSET('Input data (2)'!AN$126,'Input data (2)'!$BL$1-$C24,0),IF(AND('Input data (2)'!$C$2=2,$B24&gt;=0),OFFSET('Input data (2)'!AN$126,'Input data (2)'!$BL$1-$B24,0),IF(AND('Input data (2)'!$C$2=1,$A24&gt;=0),OFFSET('Input data (2)'!AN$126,'Input data (2)'!$BL$1-$A24,0),""))))</f>
        <v>95</v>
      </c>
      <c r="BH40" s="1">
        <f ca="1">IF(AND('Input data (2)'!$C$2=4,$D24&gt;=0),OFFSET('Input data (2)'!AO$126,'Input data (2)'!$BL$1-$D24,0),IF(AND('Input data (2)'!$C$2=3,$C24&gt;=0),OFFSET('Input data (2)'!AO$126,'Input data (2)'!$BL$1-$C24,0),IF(AND('Input data (2)'!$C$2=2,$B24&gt;=0),OFFSET('Input data (2)'!AO$126,'Input data (2)'!$BL$1-$B24,0),IF(AND('Input data (2)'!$C$2=1,$A24&gt;=0),OFFSET('Input data (2)'!AO$126,'Input data (2)'!$BL$1-$A24,0),""))))</f>
        <v>7</v>
      </c>
      <c r="BJ40" s="1">
        <f ca="1">IF(AND('Input data (2)'!$C$2=4,$D24&gt;=0),OFFSET('Input data (2)'!AU$126,'Input data (2)'!$BL$1-$D24,0),IF(AND('Input data (2)'!$C$2=3,$C24&gt;=0),OFFSET('Input data (2)'!AU$126,'Input data (2)'!$BL$1-$C24,0),IF(AND('Input data (2)'!$C$2=2,$B24&gt;=0),OFFSET('Input data (2)'!AU$126,'Input data (2)'!$BL$1-$B24,0),IF(AND('Input data (2)'!$C$2=1,$A24&gt;=0),OFFSET('Input data (2)'!AU$126,'Input data (2)'!$BL$1-$A24,0),""))))</f>
        <v>56</v>
      </c>
      <c r="BK40" s="1">
        <f ca="1">IF(AND('Input data (2)'!$C$2=4,$D24&gt;=0),OFFSET('Input data (2)'!AV$126,'Input data (2)'!$BL$1-$D24,0),IF(AND('Input data (2)'!$C$2=3,$C24&gt;=0),OFFSET('Input data (2)'!AV$126,'Input data (2)'!$BL$1-$C24,0),IF(AND('Input data (2)'!$C$2=2,$B24&gt;=0),OFFSET('Input data (2)'!AV$126,'Input data (2)'!$BL$1-$B24,0),IF(AND('Input data (2)'!$C$2=1,$A24&gt;=0),OFFSET('Input data (2)'!AV$126,'Input data (2)'!$BL$1-$A24,0),""))))</f>
        <v>0</v>
      </c>
      <c r="BL40" s="1">
        <f ca="1">IF(AND('Input data (2)'!$C$2=4,$D24&gt;=0),OFFSET('Input data (2)'!AW$126,'Input data (2)'!$BL$1-$D24,0),IF(AND('Input data (2)'!$C$2=3,$C24&gt;=0),OFFSET('Input data (2)'!AW$126,'Input data (2)'!$BL$1-$C24,0),IF(AND('Input data (2)'!$C$2=2,$B24&gt;=0),OFFSET('Input data (2)'!AW$126,'Input data (2)'!$BL$1-$B24,0),IF(AND('Input data (2)'!$C$2=1,$A24&gt;=0),OFFSET('Input data (2)'!AW$126,'Input data (2)'!$BL$1-$A24,0),""))))</f>
        <v>12</v>
      </c>
      <c r="BM40" s="1">
        <f ca="1">IF(AND('Input data (2)'!$C$2=4,$D24&gt;=0),OFFSET('Input data (2)'!AX$126,'Input data (2)'!$BL$1-$D24,0),IF(AND('Input data (2)'!$C$2=3,$C24&gt;=0),OFFSET('Input data (2)'!AX$126,'Input data (2)'!$BL$1-$C24,0),IF(AND('Input data (2)'!$C$2=2,$B24&gt;=0),OFFSET('Input data (2)'!AX$126,'Input data (2)'!$BL$1-$B24,0),IF(AND('Input data (2)'!$C$2=1,$A24&gt;=0),OFFSET('Input data (2)'!AX$126,'Input data (2)'!$BL$1-$A24,0),""))))</f>
        <v>0</v>
      </c>
      <c r="BO40" s="1">
        <f ca="1">IF(AND('Input data (2)'!$C$2=4,$D24&gt;=0),OFFSET('Input data (2)'!BL$126,'Input data (2)'!$BL$1-$D24,0),IF(AND('Input data (2)'!$C$2=3,$C24&gt;=0),OFFSET('Input data (2)'!BL$126,'Input data (2)'!$BL$1-$C24,0),IF(AND('Input data (2)'!$C$2=2,$B24&gt;=0),OFFSET('Input data (2)'!BL$126,'Input data (2)'!$BL$1-$B24,0),IF(AND('Input data (2)'!$C$2=1,$A24&gt;=0),OFFSET('Input data (2)'!BL$126,'Input data (2)'!$BL$1-$A24,0),""))))</f>
        <v>330</v>
      </c>
      <c r="BP40" s="1">
        <f ca="1">IF(AND('Input data (2)'!$C$2=4,$D24&gt;=0),OFFSET('Input data (2)'!BI$126,'Input data (2)'!$BL$1-$D24,0),IF(AND('Input data (2)'!$C$2=3,$C24&gt;=0),OFFSET('Input data (2)'!BI$126,'Input data (2)'!$BL$1-$C24,0),IF(AND('Input data (2)'!$C$2=2,$B24&gt;=0),OFFSET('Input data (2)'!BI$126,'Input data (2)'!$BL$1-$B24,0),IF(AND('Input data (2)'!$C$2=1,$A24&gt;=0),OFFSET('Input data (2)'!BI$126,'Input data (2)'!$BL$1-$A24,0),""))))</f>
        <v>226</v>
      </c>
      <c r="BQ40" s="1" t="str">
        <f ca="1">IF(AND('Input data (2)'!$C$2=4,$D24&gt;=0),OFFSET('Input data (2)'!BK$126,'Input data (2)'!$BL$1-$D24,0),IF(AND('Input data (2)'!$C$2=3,$C24&gt;=0),OFFSET('Input data (2)'!BK$126,'Input data (2)'!$BL$1-$C24,0),IF(AND('Input data (2)'!$C$2=2,$B24&gt;=0),OFFSET('Input data (2)'!BK$126,'Input data (2)'!$BL$1-$B24,0),IF(AND('Input data (2)'!$C$2=1,$A24&gt;=0),OFFSET('Input data (2)'!BK$126,'Input data (2)'!$BL$1-$A24,0),""))))</f>
        <v>..</v>
      </c>
      <c r="BR40" s="1">
        <f ca="1">IF(AND('Input data (2)'!$C$2=4,$D24&gt;=0),OFFSET('Input data (2)'!BJ$126,'Input data (2)'!$BL$1-$D24,0),IF(AND('Input data (2)'!$C$2=3,$C24&gt;=0),OFFSET('Input data (2)'!BJ$126,'Input data (2)'!$BL$1-$C24,0),IF(AND('Input data (2)'!$C$2=2,$B24&gt;=0),OFFSET('Input data (2)'!BJ$126,'Input data (2)'!$BL$1-$B24,0),IF(AND('Input data (2)'!$C$2=1,$A24&gt;=0),OFFSET('Input data (2)'!BJ$126,'Input data (2)'!$BL$1-$A24,0),""))))</f>
        <v>104</v>
      </c>
      <c r="BS40" s="1">
        <f ca="1">IF(AND('Input data (2)'!$C$2=4,$D24&gt;=0),OFFSET('Input data (2)'!BF$126,'Input data (2)'!$BL$1-$D24,0),IF(AND('Input data (2)'!$C$2=3,$C24&gt;=0),OFFSET('Input data (2)'!BF$126,'Input data (2)'!$BL$1-$C24,0),IF(AND('Input data (2)'!$C$2=2,$B24&gt;=0),OFFSET('Input data (2)'!BF$126,'Input data (2)'!$BL$1-$B24,0),IF(AND('Input data (2)'!$C$2=1,$A24&gt;=0),OFFSET('Input data (2)'!BF$126,'Input data (2)'!$BL$1-$A24,0),""))))</f>
        <v>42</v>
      </c>
      <c r="BT40" s="1">
        <f ca="1">IF(AND('Input data (2)'!$C$2=4,$D24&gt;=0),OFFSET('Input data (2)'!BD$126,'Input data (2)'!$BL$1-$D24,0),IF(AND('Input data (2)'!$C$2=3,$C24&gt;=0),OFFSET('Input data (2)'!BD$126,'Input data (2)'!$BL$1-$C24,0),IF(AND('Input data (2)'!$C$2=2,$B24&gt;=0),OFFSET('Input data (2)'!BD$126,'Input data (2)'!$BL$1-$B24,0),IF(AND('Input data (2)'!$C$2=1,$A24&gt;=0),OFFSET('Input data (2)'!BD$126,'Input data (2)'!$BL$1-$A24,0),""))))</f>
        <v>37</v>
      </c>
      <c r="BU40" s="1">
        <f ca="1">IF(AND('Input data (2)'!$C$2=4,$D24&gt;=0),OFFSET('Input data (2)'!BE$126,'Input data (2)'!$BL$1-$D24,0),IF(AND('Input data (2)'!$C$2=3,$C24&gt;=0),OFFSET('Input data (2)'!BE$126,'Input data (2)'!$BL$1-$C24,0),IF(AND('Input data (2)'!$C$2=2,$B24&gt;=0),OFFSET('Input data (2)'!BE$126,'Input data (2)'!$BL$1-$B24,0),IF(AND('Input data (2)'!$C$2=1,$A24&gt;=0),OFFSET('Input data (2)'!BE$126,'Input data (2)'!$BL$1-$A24,0),""))))</f>
        <v>5</v>
      </c>
      <c r="BW40" s="7">
        <f ca="1">IF(AND('Input data (2)'!$C$2=4,$D24&gt;=0),OFFSET('Input data (2)'!J$126,'Input data (2)'!$BL$1-$D24,0),IF(AND('Input data (2)'!$C$2=3,$C24&gt;=0),OFFSET('Input data (2)'!J$126,'Input data (2)'!$BL$1-$C24,0),IF(AND('Input data (2)'!$C$2=2,$B24&gt;=0),OFFSET('Input data (2)'!J$126,'Input data (2)'!$BL$1-$B24,0),IF(AND('Input data (2)'!$C$2=1,$A24&gt;=0),OFFSET('Input data (2)'!J$126,'Input data (2)'!$BL$1-$A24,0),""))))</f>
        <v>0.60025423754090779</v>
      </c>
      <c r="BX40" s="7">
        <f ca="1">IF(AND('Input data (2)'!$C$2=4,$D24&gt;=0),OFFSET('Input data (2)'!K$126,'Input data (2)'!$BL$1-$D24,0),IF(AND('Input data (2)'!$C$2=3,$C24&gt;=0),OFFSET('Input data (2)'!K$126,'Input data (2)'!$BL$1-$C24,0),IF(AND('Input data (2)'!$C$2=2,$B24&gt;=0),OFFSET('Input data (2)'!K$126,'Input data (2)'!$BL$1-$B24,0),IF(AND('Input data (2)'!$C$2=1,$A24&gt;=0),OFFSET('Input data (2)'!K$126,'Input data (2)'!$BL$1-$A24,0),""))))</f>
        <v>0.54698762190849715</v>
      </c>
      <c r="BY40" s="7">
        <f ca="1">IF(AND('Input data (2)'!$C$2=4,$D24&gt;=0),OFFSET('Input data (2)'!AS$126,'Input data (2)'!$BL$1-$D24,0),IF(AND('Input data (2)'!$C$2=3,$C24&gt;=0),OFFSET('Input data (2)'!AS$126,'Input data (2)'!$BL$1-$C24,0),IF(AND('Input data (2)'!$C$2=2,$B24&gt;=0),OFFSET('Input data (2)'!AS$126,'Input data (2)'!$BL$1-$B24,0),IF(AND('Input data (2)'!$C$2=1,$A24&gt;=0),OFFSET('Input data (2)'!AS$126,'Input data (2)'!$BL$1-$A24,0),""))))</f>
        <v>0.37548887663609393</v>
      </c>
      <c r="BZ40" s="7">
        <f ca="1">IF(AND('Input data (2)'!$C$2=4,$D24&gt;=0),OFFSET('Input data (2)'!AT$126,'Input data (2)'!$BL$1-$D24,0),IF(AND('Input data (2)'!$C$2=3,$C24&gt;=0),OFFSET('Input data (2)'!AT$126,'Input data (2)'!$BL$1-$C24,0),IF(AND('Input data (2)'!$C$2=2,$B24&gt;=0),OFFSET('Input data (2)'!AT$126,'Input data (2)'!$BL$1-$B24,0),IF(AND('Input data (2)'!$C$2=1,$A24&gt;=0),OFFSET('Input data (2)'!AT$126,'Input data (2)'!$BL$1-$A24,0),""))))</f>
        <v>0.34227614839652631</v>
      </c>
      <c r="CB40" s="122"/>
      <c r="CC40" s="122"/>
      <c r="CD40" s="122"/>
      <c r="CE40" s="122"/>
      <c r="CG40" s="1">
        <v>4</v>
      </c>
      <c r="CI40" s="1">
        <f t="shared" si="24"/>
        <v>2012</v>
      </c>
      <c r="CJ40" s="1" t="str">
        <f t="shared" si="25"/>
        <v>Q2</v>
      </c>
      <c r="CK40" s="1" t="str">
        <f t="shared" si="12"/>
        <v>12</v>
      </c>
      <c r="CL40" s="1" t="str">
        <f t="shared" si="13"/>
        <v>Q2 12</v>
      </c>
      <c r="CM40" s="1">
        <f ca="1">OFFSET('Input data (2)'!AJ$126,'Input data (2)'!$BL$1-'Output data - DO NOT TOUCH (2)'!$CG40,0)/1000</f>
        <v>8.1950000000000003</v>
      </c>
      <c r="CN40" s="1">
        <f ca="1">OFFSET('Input data (2)'!AK$126,'Input data (2)'!$BL$1-'Output data - DO NOT TOUCH (2)'!$CG40,0)/1000</f>
        <v>11.21</v>
      </c>
      <c r="CO40" s="1" t="e">
        <f ca="1">OFFSET('Input data (2)'!AL$126,'Input data (2)'!$BL$1-'Output data - DO NOT TOUCH (2)'!$CG40,0)/1000</f>
        <v>#VALUE!</v>
      </c>
      <c r="CP40" s="1"/>
      <c r="CQ40" s="1">
        <f ca="1">OFFSET('Input data (2)'!AG$126,'Input data (2)'!$BL$1-'Output data - DO NOT TOUCH (2)'!$CG40,0)/1000</f>
        <v>1.028</v>
      </c>
      <c r="CR40" s="1">
        <f ca="1">OFFSET('Input data (2)'!AH$126,'Input data (2)'!$BL$1-'Output data - DO NOT TOUCH (2)'!$CG40,0)/1000</f>
        <v>3.036</v>
      </c>
      <c r="CS40" s="1">
        <f ca="1">OFFSET('Input data (2)'!AI$126,'Input data (2)'!$BL$1-'Output data - DO NOT TOUCH (2)'!$CG40,0)/1000</f>
        <v>4.0640000000000001</v>
      </c>
      <c r="CT40" s="1"/>
      <c r="CU40" s="1">
        <f ca="1">OFFSET('Input data (2)'!L$126,'Input data (2)'!$BL$1-'Output data - DO NOT TOUCH (2)'!$CG40,0)</f>
        <v>333</v>
      </c>
      <c r="CV40" s="1">
        <f ca="1">OFFSET('Input data (2)'!M$126,'Input data (2)'!$BL$1-'Output data - DO NOT TOUCH (2)'!$CG40,0)</f>
        <v>0</v>
      </c>
      <c r="CW40" s="67">
        <f ca="1">OFFSET('Input data (2)'!N$126,'Input data (2)'!$BL$1-'Output data - DO NOT TOUCH (2)'!$CG40,0)</f>
        <v>625</v>
      </c>
      <c r="CX40" s="1">
        <f ca="1">OFFSET('Input data (2)'!P$126,'Input data (2)'!$BL$1-'Output data - DO NOT TOUCH (2)'!$CG40,0)</f>
        <v>352</v>
      </c>
      <c r="CY40" s="1"/>
      <c r="CZ40" s="1">
        <f ca="1">OFFSET('Input data (2)'!AY$126,'Input data (2)'!$BL$1-'Output data - DO NOT TOUCH (2)'!$CG40,0)/1000</f>
        <v>3.31</v>
      </c>
      <c r="DA40" s="1">
        <f ca="1">OFFSET('Input data (2)'!BA$126,'Input data (2)'!$BL$1-'Output data - DO NOT TOUCH (2)'!$CG40,0)/1000</f>
        <v>2.2909999999999999</v>
      </c>
      <c r="DB40" s="1">
        <f ca="1">OFFSET('Input data (2)'!BB$126,'Input data (2)'!$BL$1-'Output data - DO NOT TOUCH (2)'!$CG40,0)/1000</f>
        <v>5.601</v>
      </c>
      <c r="DD40" s="1">
        <f ca="1">OFFSET('Input data (2)'!AN$126,'Input data (2)'!$BL$1-'Output data - DO NOT TOUCH (2)'!$CG40,0)</f>
        <v>313</v>
      </c>
      <c r="DE40" s="1">
        <f ca="1">OFFSET('Input data (2)'!AO$126,'Input data (2)'!$BL$1-'Output data - DO NOT TOUCH (2)'!$CG40,0)</f>
        <v>58</v>
      </c>
      <c r="DF40" s="1">
        <f ca="1">OFFSET('Input data (2)'!AP$126,'Input data (2)'!$BL$1-'Output data - DO NOT TOUCH (2)'!$CG40,0)</f>
        <v>371</v>
      </c>
      <c r="DG40" s="1"/>
      <c r="DH40" s="1">
        <f ca="1">OFFSET('Input data (2)'!AU$126,'Input data (2)'!$BL$1-'Output data - DO NOT TOUCH (2)'!$CG40,0)</f>
        <v>12</v>
      </c>
      <c r="DI40" s="1">
        <f ca="1">OFFSET('Input data (2)'!AV$126,'Input data (2)'!$BL$1-'Output data - DO NOT TOUCH (2)'!$CG40,0)</f>
        <v>0</v>
      </c>
      <c r="DJ40" s="1">
        <f ca="1">OFFSET('Input data (2)'!AW$126,'Input data (2)'!$BL$1-'Output data - DO NOT TOUCH (2)'!$CG40,0)</f>
        <v>67</v>
      </c>
      <c r="DK40" s="1">
        <f ca="1">OFFSET('Input data (2)'!AX$126,'Input data (2)'!$BL$1-'Output data - DO NOT TOUCH (2)'!$CG40,0)</f>
        <v>18</v>
      </c>
      <c r="DM40" s="1">
        <f ca="1">OFFSET('Input data (2)'!BI$126,'Input data (2)'!$BL$1-'Output data - DO NOT TOUCH (2)'!$CG40,0)</f>
        <v>381</v>
      </c>
      <c r="DN40" s="1">
        <f ca="1">OFFSET('Input data (2)'!BJ$126,'Input data (2)'!$BL$1-'Output data - DO NOT TOUCH (2)'!$CG40,0)</f>
        <v>282</v>
      </c>
      <c r="DO40" s="1">
        <f ca="1">OFFSET('Input data (2)'!BL$126,'Input data (2)'!$BL$1-'Output data - DO NOT TOUCH (2)'!$CG40,0)</f>
        <v>795</v>
      </c>
      <c r="DQ40" s="1">
        <f ca="1">OFFSET('Input data (2)'!BD$126,'Input data (2)'!$BL$1-'Output data - DO NOT TOUCH (2)'!$CG40,0)</f>
        <v>72</v>
      </c>
      <c r="DR40" s="1">
        <f ca="1">OFFSET('Input data (2)'!BE$126,'Input data (2)'!$BL$1-'Output data - DO NOT TOUCH (2)'!$CG40,0)</f>
        <v>46</v>
      </c>
      <c r="DS40" s="1">
        <f ca="1">OFFSET('Input data (2)'!BF$126,'Input data (2)'!$BL$1-'Output data - DO NOT TOUCH (2)'!$CG40,0)</f>
        <v>118</v>
      </c>
      <c r="DU40" s="1">
        <f ca="1">OFFSET('Input data (2)'!B$126,'Input data (2)'!$BL$1-'Output data - DO NOT TOUCH (2)'!$CG40-1,0)</f>
        <v>2012</v>
      </c>
      <c r="DV40" s="1" t="str">
        <f ca="1">OFFSET('Input data (2)'!C$126,'Input data (2)'!$BL$1-'Output data - DO NOT TOUCH (2)'!$CG40-1,0)</f>
        <v>Q1</v>
      </c>
      <c r="DW40" s="1" t="str">
        <f t="shared" ca="1" si="14"/>
        <v>12</v>
      </c>
      <c r="DX40" s="1" t="str">
        <f t="shared" ca="1" si="15"/>
        <v>Q1 12</v>
      </c>
      <c r="DY40" s="1">
        <f ca="1">OFFSET('Input data (2)'!W$126,'Input data (2)'!$BL$1-'Output data - DO NOT TOUCH (2)'!$CG40-1,0)/1000</f>
        <v>2.2130000000000001</v>
      </c>
      <c r="DZ40" s="1">
        <f ca="1">OFFSET('Input data (2)'!Y$126,'Input data (2)'!$BL$1-'Output data - DO NOT TOUCH (2)'!$CG40-1,0)/1000</f>
        <v>6.9189999999999996</v>
      </c>
      <c r="EA40" s="1">
        <f ca="1">OFFSET('Input data (2)'!Q$126,'Input data (2)'!$BL$1-'Output data - DO NOT TOUCH (2)'!$CG40-1,0)/1000</f>
        <v>9.1319999999999997</v>
      </c>
    </row>
    <row r="41" spans="1:131" x14ac:dyDescent="0.15">
      <c r="A41" s="1">
        <v>3</v>
      </c>
      <c r="B41" s="1">
        <v>4</v>
      </c>
      <c r="C41" s="1">
        <v>5</v>
      </c>
      <c r="D41" s="1">
        <v>2</v>
      </c>
      <c r="E41" s="1" t="str">
        <f>F41&amp;G41</f>
        <v>2008Q2</v>
      </c>
      <c r="F41" s="1">
        <f>F36+1</f>
        <v>2008</v>
      </c>
      <c r="G41" s="1" t="s">
        <v>2</v>
      </c>
      <c r="H41" s="1">
        <f>VLOOKUP($E41,'Input data (2)'!$A:$BL,'Output data - DO NOT TOUCH (2)'!H$71,FALSE)</f>
        <v>3689</v>
      </c>
      <c r="I41" s="1">
        <f>VLOOKUP($E41,'Input data (2)'!$A:$BL,'Output data - DO NOT TOUCH (2)'!I$71,FALSE)</f>
        <v>1410</v>
      </c>
      <c r="J41" s="1">
        <f>VLOOKUP($E41,'Input data (2)'!$A:$BL,'Output data - DO NOT TOUCH (2)'!J$71,FALSE)</f>
        <v>2279</v>
      </c>
      <c r="K41" s="1">
        <f>VLOOKUP($E41,'Input data (2)'!$A:$BL,'Output data - DO NOT TOUCH (2)'!K$71,FALSE)</f>
        <v>3517</v>
      </c>
      <c r="L41" s="1">
        <f>VLOOKUP($E41,'Input data (2)'!$A:$BL,'Output data - DO NOT TOUCH (2)'!L$71,FALSE)</f>
        <v>1273</v>
      </c>
      <c r="M41" s="1">
        <f>VLOOKUP($E41,'Input data (2)'!$A:$BL,'Output data - DO NOT TOUCH (2)'!M$71,FALSE)</f>
        <v>2244</v>
      </c>
      <c r="O41" s="119">
        <f ca="1">IF(AND('Input data (2)'!$C$2=4,$D25&gt;=0),OFFSET('Input data (2)'!O$126,'Input data (2)'!$BL$1-$D25,0),IF(AND('Input data (2)'!$C$2=3,$C25&gt;=0),OFFSET('Input data (2)'!O$126,'Input data (2)'!$BL$1-$C25,0),IF(AND('Input data (2)'!$C$2=2,$B25&gt;=0),OFFSET('Input data (2)'!O$126,'Input data (2)'!$BL$1-$B25,0),IF(AND('Input data (2)'!$C$2=1,$A25&gt;=0),OFFSET('Input data (2)'!O$126,'Input data (2)'!$BL$1-$A25,0),""))))</f>
        <v>223</v>
      </c>
      <c r="Q41" s="1">
        <f ca="1">IF(AND('Input data (2)'!$C$2=4,$D25&gt;=0),OFFSET('Input data (2)'!AC$126,'Input data (2)'!$BL$1-$D25,0),IF(AND('Input data (2)'!$C$2=3,$C25&gt;=0),OFFSET('Input data (2)'!AC$126,'Input data (2)'!$BL$1-$C25,0),IF(AND('Input data (2)'!$C$2=2,$B25&gt;=0),OFFSET('Input data (2)'!AC$126,'Input data (2)'!$BL$1-$B25,0),IF(AND('Input data (2)'!$C$2=1,$A25&gt;=0),OFFSET('Input data (2)'!AC$126,'Input data (2)'!$BL$1-$A25,0),""))))</f>
        <v>25966</v>
      </c>
      <c r="R41" s="1">
        <f ca="1">IF(AND('Input data (2)'!$C$2=4,$D25&gt;=0),OFFSET('Input data (2)'!Q$126,'Input data (2)'!$BL$1-$D25,0),IF(AND('Input data (2)'!$C$2=3,$C25&gt;=0),OFFSET('Input data (2)'!Q$126,'Input data (2)'!$BL$1-$C25,0),IF(AND('Input data (2)'!$C$2=2,$B25&gt;=0),OFFSET('Input data (2)'!Q$126,'Input data (2)'!$BL$1-$B25,0),IF(AND('Input data (2)'!$C$2=1,$A25&gt;=0),OFFSET('Input data (2)'!Q$126,'Input data (2)'!$BL$1-$A25,0),""))))</f>
        <v>16373</v>
      </c>
      <c r="S41" s="1" t="str">
        <f ca="1">IF(AND('Input data (2)'!$C$2=4,$D25&gt;=0),OFFSET('Input data (2)'!R$126,'Input data (2)'!$BL$1-$D25,0),IF(AND('Input data (2)'!$C$2=3,$C25&gt;=0),OFFSET('Input data (2)'!R$126,'Input data (2)'!$BL$1-$C25,0),IF(AND('Input data (2)'!$C$2=2,$B25&gt;=0),OFFSET('Input data (2)'!R$126,'Input data (2)'!$BL$1-$B25,0),IF(AND('Input data (2)'!$C$2=1,$A25&gt;=0),OFFSET('Input data (2)'!R$126,'Input data (2)'!$BL$1-$A25,0),""))))</f>
        <v>:</v>
      </c>
      <c r="T41" s="1">
        <f ca="1">IF(AND('Input data (2)'!$C$2=4,$D25&gt;=0),OFFSET('Input data (2)'!AA$126,'Input data (2)'!$BL$1-$D25,0),IF(AND('Input data (2)'!$C$2=3,$C25&gt;=0),OFFSET('Input data (2)'!AA$126,'Input data (2)'!$BL$1-$C25,0),IF(AND('Input data (2)'!$C$2=2,$B25&gt;=0),OFFSET('Input data (2)'!AA$126,'Input data (2)'!$BL$1-$B25,0),IF(AND('Input data (2)'!$C$2=1,$A25&gt;=0),OFFSET('Input data (2)'!AA$126,'Input data (2)'!$BL$1-$A25,0),""))))</f>
        <v>9593</v>
      </c>
      <c r="U41" s="1">
        <f ca="1">IF(AND('Input data (2)'!$C$2=4,$D25&gt;=0),OFFSET('Input data (2)'!AL$126,'Input data (2)'!$BL$1-$D25,0),IF(AND('Input data (2)'!$C$2=3,$C25&gt;=0),OFFSET('Input data (2)'!AL$126,'Input data (2)'!$BL$1-$C25,0),IF(AND('Input data (2)'!$C$2=2,$B25&gt;=0),OFFSET('Input data (2)'!AL$126,'Input data (2)'!$BL$1-$B25,0),IF(AND('Input data (2)'!$C$2=1,$A25&gt;=0),OFFSET('Input data (2)'!AL$126,'Input data (2)'!$BL$1-$A25,0),""))))</f>
        <v>24911</v>
      </c>
      <c r="V41" s="1">
        <f ca="1">IF(AND('Input data (2)'!$C$2=4,$D25&gt;=0),OFFSET('Input data (2)'!AJ$126,'Input data (2)'!$BL$1-$D25,0),IF(AND('Input data (2)'!$C$2=3,$C25&gt;=0),OFFSET('Input data (2)'!AJ$126,'Input data (2)'!$BL$1-$C25,0),IF(AND('Input data (2)'!$C$2=2,$B25&gt;=0),OFFSET('Input data (2)'!AJ$126,'Input data (2)'!$BL$1-$B25,0),IF(AND('Input data (2)'!$C$2=1,$A25&gt;=0),OFFSET('Input data (2)'!AJ$126,'Input data (2)'!$BL$1-$A25,0),""))))</f>
        <v>15536</v>
      </c>
      <c r="W41" s="1">
        <f ca="1">IF(AND('Input data (2)'!$C$2=4,$D25&gt;=0),OFFSET('Input data (2)'!AK$126,'Input data (2)'!$BL$1-$D25,0),IF(AND('Input data (2)'!$C$2=3,$C25&gt;=0),OFFSET('Input data (2)'!AK$126,'Input data (2)'!$BL$1-$C25,0),IF(AND('Input data (2)'!$C$2=2,$B25&gt;=0),OFFSET('Input data (2)'!AK$126,'Input data (2)'!$BL$1-$B25,0),IF(AND('Input data (2)'!$C$2=1,$A25&gt;=0),OFFSET('Input data (2)'!AK$126,'Input data (2)'!$BL$1-$A25,0),""))))</f>
        <v>9375</v>
      </c>
      <c r="Y41" s="1">
        <f ca="1">IF(AND('Input data (2)'!$C$2=4,$D25&gt;=0),OFFSET('Input data (2)'!Q$126,'Input data (2)'!$BL$1-$D25,0),IF(AND('Input data (2)'!$C$2=3,$C25&gt;=0),OFFSET('Input data (2)'!Q$126,'Input data (2)'!$BL$1-$C25,0),IF(AND('Input data (2)'!$C$2=2,$B25&gt;=0),OFFSET('Input data (2)'!Q$126,'Input data (2)'!$BL$1-$B25,0),IF(AND('Input data (2)'!$C$2=1,$A25&gt;=0),OFFSET('Input data (2)'!Q$126,'Input data (2)'!$BL$1-$A25,0),""))))</f>
        <v>16373</v>
      </c>
      <c r="Z41" s="1">
        <f ca="1">IF(AND('Input data (2)'!$C$2=4,$D25&gt;=0),OFFSET('Input data (2)'!S$126,'Input data (2)'!$BL$1-$D25,0),IF(AND('Input data (2)'!$C$2=3,$C25&gt;=0),OFFSET('Input data (2)'!S$126,'Input data (2)'!$BL$1-$C25,0),IF(AND('Input data (2)'!$C$2=2,$B25&gt;=0),OFFSET('Input data (2)'!S$126,'Input data (2)'!$BL$1-$B25,0),IF(AND('Input data (2)'!$C$2=1,$A25&gt;=0),OFFSET('Input data (2)'!S$126,'Input data (2)'!$BL$1-$A25,0),""))))</f>
        <v>13754</v>
      </c>
      <c r="AA41" s="1">
        <f ca="1">IF(AND('Input data (2)'!$C$2=4,$D25&gt;=0),OFFSET('Input data (2)'!T$126,'Input data (2)'!$BL$1-$D25,0),IF(AND('Input data (2)'!$C$2=3,$C25&gt;=0),OFFSET('Input data (2)'!T$126,'Input data (2)'!$BL$1-$C25,0),IF(AND('Input data (2)'!$C$2=2,$B25&gt;=0),OFFSET('Input data (2)'!T$126,'Input data (2)'!$BL$1-$B25,0),IF(AND('Input data (2)'!$C$2=1,$A25&gt;=0),OFFSET('Input data (2)'!T$126,'Input data (2)'!$BL$1-$A25,0),""))))</f>
        <v>84.004153179014224</v>
      </c>
      <c r="AB41" s="1">
        <f ca="1">IF(AND('Input data (2)'!$C$2=4,$D25&gt;=0),OFFSET('Input data (2)'!U$126,'Input data (2)'!$BL$1-$D25,0),IF(AND('Input data (2)'!$C$2=3,$C25&gt;=0),OFFSET('Input data (2)'!U$126,'Input data (2)'!$BL$1-$C25,0),IF(AND('Input data (2)'!$C$2=2,$B25&gt;=0),OFFSET('Input data (2)'!U$126,'Input data (2)'!$BL$1-$B25,0),IF(AND('Input data (2)'!$C$2=1,$A25&gt;=0),OFFSET('Input data (2)'!U$126,'Input data (2)'!$BL$1-$A25,0),""))))</f>
        <v>2619</v>
      </c>
      <c r="AC41" s="1">
        <f ca="1">IF(AND('Input data (2)'!$C$2=4,$D25&gt;=0),OFFSET('Input data (2)'!V$126,'Input data (2)'!$BL$1-$D25,0),IF(AND('Input data (2)'!$C$2=3,$C25&gt;=0),OFFSET('Input data (2)'!V$126,'Input data (2)'!$BL$1-$C25,0),IF(AND('Input data (2)'!$C$2=2,$B25&gt;=0),OFFSET('Input data (2)'!V$126,'Input data (2)'!$BL$1-$B25,0),IF(AND('Input data (2)'!$C$2=1,$A25&gt;=0),OFFSET('Input data (2)'!V$126,'Input data (2)'!$BL$1-$A25,0),""))))</f>
        <v>15.995846820985768</v>
      </c>
      <c r="AD41" s="1">
        <f ca="1">IF(AND('Input data (2)'!$C$2=4,$D25&gt;=0),OFFSET('Input data (2)'!Q$126,'Input data (2)'!$BL$1-$D25,0),IF(AND('Input data (2)'!$C$2=3,$C25&gt;=0),OFFSET('Input data (2)'!Q$126,'Input data (2)'!$BL$1-$C25,0),IF(AND('Input data (2)'!$C$2=2,$B25&gt;=0),OFFSET('Input data (2)'!Q$126,'Input data (2)'!$BL$1-$B25,0),IF(AND('Input data (2)'!$C$2=1,$A25&gt;=0),OFFSET('Input data (2)'!Q$126,'Input data (2)'!$BL$1-$A25,0),""))))</f>
        <v>16373</v>
      </c>
      <c r="AE41" s="1">
        <f ca="1">IF(AND('Input data (2)'!$C$2=4,$D25&gt;=0),OFFSET('Input data (2)'!W$126,'Input data (2)'!$BL$1-$D25,0),IF(AND('Input data (2)'!$C$2=3,$C25&gt;=0),OFFSET('Input data (2)'!W$126,'Input data (2)'!$BL$1-$C25,0),IF(AND('Input data (2)'!$C$2=2,$B25&gt;=0),OFFSET('Input data (2)'!W$126,'Input data (2)'!$BL$1-$B25,0),IF(AND('Input data (2)'!$C$2=1,$A25&gt;=0),OFFSET('Input data (2)'!W$126,'Input data (2)'!$BL$1-$A25,0),""))))</f>
        <v>1828</v>
      </c>
      <c r="AF41" s="1">
        <f ca="1">IF(AND('Input data (2)'!$C$2=4,$D25&gt;=0),OFFSET('Input data (2)'!X$126,'Input data (2)'!$BL$1-$D25,0),IF(AND('Input data (2)'!$C$2=3,$C25&gt;=0),OFFSET('Input data (2)'!X$126,'Input data (2)'!$BL$1-$C25,0),IF(AND('Input data (2)'!$C$2=2,$B25&gt;=0),OFFSET('Input data (2)'!X$126,'Input data (2)'!$BL$1-$B25,0),IF(AND('Input data (2)'!$C$2=1,$A25&gt;=0),OFFSET('Input data (2)'!X$126,'Input data (2)'!$BL$1-$A25,0),""))))</f>
        <v>11.164722408843829</v>
      </c>
      <c r="AG41" s="1">
        <f ca="1">IF(AND('Input data (2)'!$C$2=4,$D25&gt;=0),OFFSET('Input data (2)'!Y$126,'Input data (2)'!$BL$1-$D25,0),IF(AND('Input data (2)'!$C$2=3,$C25&gt;=0),OFFSET('Input data (2)'!Y$126,'Input data (2)'!$BL$1-$C25,0),IF(AND('Input data (2)'!$C$2=2,$B25&gt;=0),OFFSET('Input data (2)'!Y$126,'Input data (2)'!$BL$1-$B25,0),IF(AND('Input data (2)'!$C$2=1,$A25&gt;=0),OFFSET('Input data (2)'!Y$126,'Input data (2)'!$BL$1-$A25,0),""))))</f>
        <v>14545</v>
      </c>
      <c r="AH41" s="1">
        <f ca="1">IF(AND('Input data (2)'!$C$2=4,$D25&gt;=0),OFFSET('Input data (2)'!Z$126,'Input data (2)'!$BL$1-$D25,0),IF(AND('Input data (2)'!$C$2=3,$C25&gt;=0),OFFSET('Input data (2)'!Z$126,'Input data (2)'!$BL$1-$C25,0),IF(AND('Input data (2)'!$C$2=2,$B25&gt;=0),OFFSET('Input data (2)'!Z$126,'Input data (2)'!$BL$1-$B25,0),IF(AND('Input data (2)'!$C$2=1,$A25&gt;=0),OFFSET('Input data (2)'!Z$126,'Input data (2)'!$BL$1-$A25,0),""))))</f>
        <v>88.835277591156171</v>
      </c>
      <c r="AI41" s="3"/>
      <c r="AJ41" s="124">
        <f ca="1">IF(AND('Input data (2)'!$C$2=4,$D25&gt;=0),OFFSET('Input data (2)'!AF$126,'Input data (2)'!$BL$1-$D25,0),IF(AND('Input data (2)'!$C$2=3,$C25&gt;=0),OFFSET('Input data (2)'!AF$126,'Input data (2)'!$BL$1-$C25,0),IF(AND('Input data (2)'!$C$2=2,$B25&gt;=0),OFFSET('Input data (2)'!AF$126,'Input data (2)'!$BL$1-$B25,0),IF(AND('Input data (2)'!$C$2=1,$A25&gt;=0),OFFSET('Input data (2)'!AF$126,'Input data (2)'!$BL$1-$A25,0),""))))</f>
        <v>2656</v>
      </c>
      <c r="AK41" s="124">
        <f ca="1">IF(AND('Input data (2)'!$C$2=4,$D25&gt;=0),OFFSET('Input data (2)'!AD$126,'Input data (2)'!$BL$1-$D25,0),IF(AND('Input data (2)'!$C$2=3,$C25&gt;=0),OFFSET('Input data (2)'!AD$126,'Input data (2)'!$BL$1-$C25,0),IF(AND('Input data (2)'!$C$2=2,$B25&gt;=0),OFFSET('Input data (2)'!AD$126,'Input data (2)'!$BL$1-$B25,0),IF(AND('Input data (2)'!$C$2=1,$A25&gt;=0),OFFSET('Input data (2)'!AD$126,'Input data (2)'!$BL$1-$A25,0),""))))</f>
        <v>12</v>
      </c>
      <c r="AL41" s="124">
        <f ca="1">IF(AND('Input data (2)'!$C$2=4,$D25&gt;=0),OFFSET('Input data (2)'!AE$126,'Input data (2)'!$BL$1-$D25,0),IF(AND('Input data (2)'!$C$2=3,$C25&gt;=0),OFFSET('Input data (2)'!AE$126,'Input data (2)'!$BL$1-$C25,0),IF(AND('Input data (2)'!$C$2=2,$B25&gt;=0),OFFSET('Input data (2)'!AE$126,'Input data (2)'!$BL$1-$B25,0),IF(AND('Input data (2)'!$C$2=1,$A25&gt;=0),OFFSET('Input data (2)'!AE$126,'Input data (2)'!$BL$1-$A25,0),""))))</f>
        <v>2644</v>
      </c>
      <c r="AW41" s="1">
        <f ca="1">IF(AND('Input data (2)'!$C$2=4,$D25&gt;=0),OFFSET('Input data (2)'!L$126,'Input data (2)'!$BL$1-$D25,0),IF(AND('Input data (2)'!$C$2=3,$C25&gt;=0),OFFSET('Input data (2)'!L$126,'Input data (2)'!$BL$1-$C25,0),IF(AND('Input data (2)'!$C$2=2,$B25&gt;=0),OFFSET('Input data (2)'!L$126,'Input data (2)'!$BL$1-$B25,0),IF(AND('Input data (2)'!$C$2=1,$A25&gt;=0),OFFSET('Input data (2)'!L$126,'Input data (2)'!$BL$1-$A25,0),""))))</f>
        <v>177</v>
      </c>
      <c r="AX41" s="1">
        <f ca="1">IF(AND('Input data (2)'!$C$2=4,$D25&gt;=0),OFFSET('Input data (2)'!M$126,'Input data (2)'!$BL$1-$D25,0),IF(AND('Input data (2)'!$C$2=3,$C25&gt;=0),OFFSET('Input data (2)'!M$126,'Input data (2)'!$BL$1-$C25,0),IF(AND('Input data (2)'!$C$2=2,$B25&gt;=0),OFFSET('Input data (2)'!M$126,'Input data (2)'!$BL$1-$B25,0),IF(AND('Input data (2)'!$C$2=1,$A25&gt;=0),OFFSET('Input data (2)'!M$126,'Input data (2)'!$BL$1-$A25,0),""))))</f>
        <v>0</v>
      </c>
      <c r="AY41" s="1">
        <f ca="1">IF(AND('Input data (2)'!$C$2=4,$D25&gt;=0),OFFSET('Input data (2)'!N$126,'Input data (2)'!$BL$1-$D25,0),IF(AND('Input data (2)'!$C$2=3,$C25&gt;=0),OFFSET('Input data (2)'!N$126,'Input data (2)'!$BL$1-$C25,0),IF(AND('Input data (2)'!$C$2=2,$B25&gt;=0),OFFSET('Input data (2)'!N$126,'Input data (2)'!$BL$1-$B25,0),IF(AND('Input data (2)'!$C$2=1,$A25&gt;=0),OFFSET('Input data (2)'!N$126,'Input data (2)'!$BL$1-$A25,0),""))))</f>
        <v>938</v>
      </c>
      <c r="AZ41" s="1">
        <f ca="1">IF(AND('Input data (2)'!$C$2=4,$D25&gt;=0),OFFSET('Input data (2)'!P$126,'Input data (2)'!$BL$1-$D25,0),IF(AND('Input data (2)'!$C$2=3,$C25&gt;=0),OFFSET('Input data (2)'!P$126,'Input data (2)'!$BL$1-$C25,0),IF(AND('Input data (2)'!$C$2=2,$B25&gt;=0),OFFSET('Input data (2)'!P$126,'Input data (2)'!$BL$1-$B25,0),IF(AND('Input data (2)'!$C$2=1,$A25&gt;=0),OFFSET('Input data (2)'!P$126,'Input data (2)'!$BL$1-$A25,0),""))))</f>
        <v>131</v>
      </c>
      <c r="BB41" s="1">
        <f ca="1">IF(AND('Input data (2)'!$C$2=4,$D25&gt;=0),OFFSET('Input data (2)'!BB$126,'Input data (2)'!$BL$1-$D25,0),IF(AND('Input data (2)'!$C$2=3,$C25&gt;=0),OFFSET('Input data (2)'!BB$126,'Input data (2)'!$BL$1-$C25,0),IF(AND('Input data (2)'!$C$2=2,$B25&gt;=0),OFFSET('Input data (2)'!BB$126,'Input data (2)'!$BL$1-$B25,0),IF(AND('Input data (2)'!$C$2=1,$A25&gt;=0),OFFSET('Input data (2)'!BB$126,'Input data (2)'!$BL$1-$A25,0),""))))</f>
        <v>4814</v>
      </c>
      <c r="BC41" s="1">
        <f ca="1">IF(AND('Input data (2)'!$C$2=4,$D25&gt;=0),OFFSET('Input data (2)'!AY$126,'Input data (2)'!$BL$1-$D25,0),IF(AND('Input data (2)'!$C$2=3,$C25&gt;=0),OFFSET('Input data (2)'!AY$126,'Input data (2)'!$BL$1-$C25,0),IF(AND('Input data (2)'!$C$2=2,$B25&gt;=0),OFFSET('Input data (2)'!AY$126,'Input data (2)'!$BL$1-$B25,0),IF(AND('Input data (2)'!$C$2=1,$A25&gt;=0),OFFSET('Input data (2)'!AY$126,'Input data (2)'!$BL$1-$A25,0),""))))</f>
        <v>2932</v>
      </c>
      <c r="BD41" s="1">
        <f ca="1">IF(AND('Input data (2)'!$C$2=4,$D25&gt;=0),OFFSET('Input data (2)'!AZ$126,'Input data (2)'!$BL$1-$D25,0),IF(AND('Input data (2)'!$C$2=3,$C25&gt;=0),OFFSET('Input data (2)'!AZ$126,'Input data (2)'!$BL$1-$C25,0),IF(AND('Input data (2)'!$C$2=2,$B25&gt;=0),OFFSET('Input data (2)'!AZ$126,'Input data (2)'!$BL$1-$B25,0),IF(AND('Input data (2)'!$C$2=1,$A25&gt;=0),OFFSET('Input data (2)'!AZ$126,'Input data (2)'!$BL$1-$A25,0),""))))</f>
        <v>1709</v>
      </c>
      <c r="BE41" s="1">
        <f ca="1">IF(AND('Input data (2)'!$C$2=4,$D25&gt;=0),OFFSET('Input data (2)'!BA$126,'Input data (2)'!$BL$1-$D25,0),IF(AND('Input data (2)'!$C$2=3,$C25&gt;=0),OFFSET('Input data (2)'!BA$126,'Input data (2)'!$BL$1-$C25,0),IF(AND('Input data (2)'!$C$2=2,$B25&gt;=0),OFFSET('Input data (2)'!BA$126,'Input data (2)'!$BL$1-$B25,0),IF(AND('Input data (2)'!$C$2=1,$A25&gt;=0),OFFSET('Input data (2)'!BA$126,'Input data (2)'!$BL$1-$A25,0),""))))</f>
        <v>1882</v>
      </c>
      <c r="BF41" s="1">
        <f ca="1">IF(AND('Input data (2)'!$C$2=4,$D25&gt;=0),OFFSET('Input data (2)'!AP$126,'Input data (2)'!$BL$1-$D25,0),IF(AND('Input data (2)'!$C$2=3,$C25&gt;=0),OFFSET('Input data (2)'!AP$126,'Input data (2)'!$BL$1-$C25,0),IF(AND('Input data (2)'!$C$2=2,$B25&gt;=0),OFFSET('Input data (2)'!AP$126,'Input data (2)'!$BL$1-$B25,0),IF(AND('Input data (2)'!$C$2=1,$A25&gt;=0),OFFSET('Input data (2)'!AP$126,'Input data (2)'!$BL$1-$A25,0),""))))</f>
        <v>132</v>
      </c>
      <c r="BG41" s="1">
        <f ca="1">IF(AND('Input data (2)'!$C$2=4,$D25&gt;=0),OFFSET('Input data (2)'!AN$126,'Input data (2)'!$BL$1-$D25,0),IF(AND('Input data (2)'!$C$2=3,$C25&gt;=0),OFFSET('Input data (2)'!AN$126,'Input data (2)'!$BL$1-$C25,0),IF(AND('Input data (2)'!$C$2=2,$B25&gt;=0),OFFSET('Input data (2)'!AN$126,'Input data (2)'!$BL$1-$B25,0),IF(AND('Input data (2)'!$C$2=1,$A25&gt;=0),OFFSET('Input data (2)'!AN$126,'Input data (2)'!$BL$1-$A25,0),""))))</f>
        <v>111</v>
      </c>
      <c r="BH41" s="1">
        <f ca="1">IF(AND('Input data (2)'!$C$2=4,$D25&gt;=0),OFFSET('Input data (2)'!AO$126,'Input data (2)'!$BL$1-$D25,0),IF(AND('Input data (2)'!$C$2=3,$C25&gt;=0),OFFSET('Input data (2)'!AO$126,'Input data (2)'!$BL$1-$C25,0),IF(AND('Input data (2)'!$C$2=2,$B25&gt;=0),OFFSET('Input data (2)'!AO$126,'Input data (2)'!$BL$1-$B25,0),IF(AND('Input data (2)'!$C$2=1,$A25&gt;=0),OFFSET('Input data (2)'!AO$126,'Input data (2)'!$BL$1-$A25,0),""))))</f>
        <v>21</v>
      </c>
      <c r="BJ41" s="1">
        <f ca="1">IF(AND('Input data (2)'!$C$2=4,$D25&gt;=0),OFFSET('Input data (2)'!AU$126,'Input data (2)'!$BL$1-$D25,0),IF(AND('Input data (2)'!$C$2=3,$C25&gt;=0),OFFSET('Input data (2)'!AU$126,'Input data (2)'!$BL$1-$C25,0),IF(AND('Input data (2)'!$C$2=2,$B25&gt;=0),OFFSET('Input data (2)'!AU$126,'Input data (2)'!$BL$1-$B25,0),IF(AND('Input data (2)'!$C$2=1,$A25&gt;=0),OFFSET('Input data (2)'!AU$126,'Input data (2)'!$BL$1-$A25,0),""))))</f>
        <v>17</v>
      </c>
      <c r="BK41" s="1">
        <f ca="1">IF(AND('Input data (2)'!$C$2=4,$D25&gt;=0),OFFSET('Input data (2)'!AV$126,'Input data (2)'!$BL$1-$D25,0),IF(AND('Input data (2)'!$C$2=3,$C25&gt;=0),OFFSET('Input data (2)'!AV$126,'Input data (2)'!$BL$1-$C25,0),IF(AND('Input data (2)'!$C$2=2,$B25&gt;=0),OFFSET('Input data (2)'!AV$126,'Input data (2)'!$BL$1-$B25,0),IF(AND('Input data (2)'!$C$2=1,$A25&gt;=0),OFFSET('Input data (2)'!AV$126,'Input data (2)'!$BL$1-$A25,0),""))))</f>
        <v>0</v>
      </c>
      <c r="BL41" s="1">
        <f ca="1">IF(AND('Input data (2)'!$C$2=4,$D25&gt;=0),OFFSET('Input data (2)'!AW$126,'Input data (2)'!$BL$1-$D25,0),IF(AND('Input data (2)'!$C$2=3,$C25&gt;=0),OFFSET('Input data (2)'!AW$126,'Input data (2)'!$BL$1-$C25,0),IF(AND('Input data (2)'!$C$2=2,$B25&gt;=0),OFFSET('Input data (2)'!AW$126,'Input data (2)'!$BL$1-$B25,0),IF(AND('Input data (2)'!$C$2=1,$A25&gt;=0),OFFSET('Input data (2)'!AW$126,'Input data (2)'!$BL$1-$A25,0),""))))</f>
        <v>35</v>
      </c>
      <c r="BM41" s="1">
        <f ca="1">IF(AND('Input data (2)'!$C$2=4,$D25&gt;=0),OFFSET('Input data (2)'!AX$126,'Input data (2)'!$BL$1-$D25,0),IF(AND('Input data (2)'!$C$2=3,$C25&gt;=0),OFFSET('Input data (2)'!AX$126,'Input data (2)'!$BL$1-$C25,0),IF(AND('Input data (2)'!$C$2=2,$B25&gt;=0),OFFSET('Input data (2)'!AX$126,'Input data (2)'!$BL$1-$B25,0),IF(AND('Input data (2)'!$C$2=1,$A25&gt;=0),OFFSET('Input data (2)'!AX$126,'Input data (2)'!$BL$1-$A25,0),""))))</f>
        <v>2</v>
      </c>
      <c r="BO41" s="1">
        <f ca="1">IF(AND('Input data (2)'!$C$2=4,$D25&gt;=0),OFFSET('Input data (2)'!BL$126,'Input data (2)'!$BL$1-$D25,0),IF(AND('Input data (2)'!$C$2=3,$C25&gt;=0),OFFSET('Input data (2)'!BL$126,'Input data (2)'!$BL$1-$C25,0),IF(AND('Input data (2)'!$C$2=2,$B25&gt;=0),OFFSET('Input data (2)'!BL$126,'Input data (2)'!$BL$1-$B25,0),IF(AND('Input data (2)'!$C$2=1,$A25&gt;=0),OFFSET('Input data (2)'!BL$126,'Input data (2)'!$BL$1-$A25,0),""))))</f>
        <v>479</v>
      </c>
      <c r="BP41" s="1">
        <f ca="1">IF(AND('Input data (2)'!$C$2=4,$D25&gt;=0),OFFSET('Input data (2)'!BI$126,'Input data (2)'!$BL$1-$D25,0),IF(AND('Input data (2)'!$C$2=3,$C25&gt;=0),OFFSET('Input data (2)'!BI$126,'Input data (2)'!$BL$1-$C25,0),IF(AND('Input data (2)'!$C$2=2,$B25&gt;=0),OFFSET('Input data (2)'!BI$126,'Input data (2)'!$BL$1-$B25,0),IF(AND('Input data (2)'!$C$2=1,$A25&gt;=0),OFFSET('Input data (2)'!BI$126,'Input data (2)'!$BL$1-$A25,0),""))))</f>
        <v>331</v>
      </c>
      <c r="BQ41" s="1" t="str">
        <f ca="1">IF(AND('Input data (2)'!$C$2=4,$D25&gt;=0),OFFSET('Input data (2)'!BK$126,'Input data (2)'!$BL$1-$D25,0),IF(AND('Input data (2)'!$C$2=3,$C25&gt;=0),OFFSET('Input data (2)'!BK$126,'Input data (2)'!$BL$1-$C25,0),IF(AND('Input data (2)'!$C$2=2,$B25&gt;=0),OFFSET('Input data (2)'!BK$126,'Input data (2)'!$BL$1-$B25,0),IF(AND('Input data (2)'!$C$2=1,$A25&gt;=0),OFFSET('Input data (2)'!BK$126,'Input data (2)'!$BL$1-$A25,0),""))))</f>
        <v>..</v>
      </c>
      <c r="BR41" s="1">
        <f ca="1">IF(AND('Input data (2)'!$C$2=4,$D25&gt;=0),OFFSET('Input data (2)'!BJ$126,'Input data (2)'!$BL$1-$D25,0),IF(AND('Input data (2)'!$C$2=3,$C25&gt;=0),OFFSET('Input data (2)'!BJ$126,'Input data (2)'!$BL$1-$C25,0),IF(AND('Input data (2)'!$C$2=2,$B25&gt;=0),OFFSET('Input data (2)'!BJ$126,'Input data (2)'!$BL$1-$B25,0),IF(AND('Input data (2)'!$C$2=1,$A25&gt;=0),OFFSET('Input data (2)'!BJ$126,'Input data (2)'!$BL$1-$A25,0),""))))</f>
        <v>148</v>
      </c>
      <c r="BS41" s="1">
        <f ca="1">IF(AND('Input data (2)'!$C$2=4,$D25&gt;=0),OFFSET('Input data (2)'!BF$126,'Input data (2)'!$BL$1-$D25,0),IF(AND('Input data (2)'!$C$2=3,$C25&gt;=0),OFFSET('Input data (2)'!BF$126,'Input data (2)'!$BL$1-$C25,0),IF(AND('Input data (2)'!$C$2=2,$B25&gt;=0),OFFSET('Input data (2)'!BF$126,'Input data (2)'!$BL$1-$B25,0),IF(AND('Input data (2)'!$C$2=1,$A25&gt;=0),OFFSET('Input data (2)'!BF$126,'Input data (2)'!$BL$1-$A25,0),""))))</f>
        <v>57</v>
      </c>
      <c r="BT41" s="1">
        <f ca="1">IF(AND('Input data (2)'!$C$2=4,$D25&gt;=0),OFFSET('Input data (2)'!BD$126,'Input data (2)'!$BL$1-$D25,0),IF(AND('Input data (2)'!$C$2=3,$C25&gt;=0),OFFSET('Input data (2)'!BD$126,'Input data (2)'!$BL$1-$C25,0),IF(AND('Input data (2)'!$C$2=2,$B25&gt;=0),OFFSET('Input data (2)'!BD$126,'Input data (2)'!$BL$1-$B25,0),IF(AND('Input data (2)'!$C$2=1,$A25&gt;=0),OFFSET('Input data (2)'!BD$126,'Input data (2)'!$BL$1-$A25,0),""))))</f>
        <v>42</v>
      </c>
      <c r="BU41" s="1">
        <f ca="1">IF(AND('Input data (2)'!$C$2=4,$D25&gt;=0),OFFSET('Input data (2)'!BE$126,'Input data (2)'!$BL$1-$D25,0),IF(AND('Input data (2)'!$C$2=3,$C25&gt;=0),OFFSET('Input data (2)'!BE$126,'Input data (2)'!$BL$1-$C25,0),IF(AND('Input data (2)'!$C$2=2,$B25&gt;=0),OFFSET('Input data (2)'!BE$126,'Input data (2)'!$BL$1-$B25,0),IF(AND('Input data (2)'!$C$2=1,$A25&gt;=0),OFFSET('Input data (2)'!BE$126,'Input data (2)'!$BL$1-$A25,0),""))))</f>
        <v>15</v>
      </c>
      <c r="BW41" s="7">
        <f ca="1">IF(AND('Input data (2)'!$C$2=4,$D25&gt;=0),OFFSET('Input data (2)'!J$126,'Input data (2)'!$BL$1-$D25,0),IF(AND('Input data (2)'!$C$2=3,$C25&gt;=0),OFFSET('Input data (2)'!J$126,'Input data (2)'!$BL$1-$C25,0),IF(AND('Input data (2)'!$C$2=2,$B25&gt;=0),OFFSET('Input data (2)'!J$126,'Input data (2)'!$BL$1-$B25,0),IF(AND('Input data (2)'!$C$2=1,$A25&gt;=0),OFFSET('Input data (2)'!J$126,'Input data (2)'!$BL$1-$A25,0),""))))</f>
        <v>0.6131943056904825</v>
      </c>
      <c r="BX41" s="7">
        <f ca="1">IF(AND('Input data (2)'!$C$2=4,$D25&gt;=0),OFFSET('Input data (2)'!K$126,'Input data (2)'!$BL$1-$D25,0),IF(AND('Input data (2)'!$C$2=3,$C25&gt;=0),OFFSET('Input data (2)'!K$126,'Input data (2)'!$BL$1-$C25,0),IF(AND('Input data (2)'!$C$2=2,$B25&gt;=0),OFFSET('Input data (2)'!K$126,'Input data (2)'!$BL$1-$B25,0),IF(AND('Input data (2)'!$C$2=1,$A25&gt;=0),OFFSET('Input data (2)'!K$126,'Input data (2)'!$BL$1-$A25,0),""))))</f>
        <v>0.55750427630367905</v>
      </c>
      <c r="BY41" s="7">
        <f ca="1">IF(AND('Input data (2)'!$C$2=4,$D25&gt;=0),OFFSET('Input data (2)'!AS$126,'Input data (2)'!$BL$1-$D25,0),IF(AND('Input data (2)'!$C$2=3,$C25&gt;=0),OFFSET('Input data (2)'!AS$126,'Input data (2)'!$BL$1-$C25,0),IF(AND('Input data (2)'!$C$2=2,$B25&gt;=0),OFFSET('Input data (2)'!AS$126,'Input data (2)'!$BL$1-$B25,0),IF(AND('Input data (2)'!$C$2=1,$A25&gt;=0),OFFSET('Input data (2)'!AS$126,'Input data (2)'!$BL$1-$A25,0),""))))</f>
        <v>0.34437510915924813</v>
      </c>
      <c r="BZ41" s="7">
        <f ca="1">IF(AND('Input data (2)'!$C$2=4,$D25&gt;=0),OFFSET('Input data (2)'!AT$126,'Input data (2)'!$BL$1-$D25,0),IF(AND('Input data (2)'!$C$2=3,$C25&gt;=0),OFFSET('Input data (2)'!AT$126,'Input data (2)'!$BL$1-$C25,0),IF(AND('Input data (2)'!$C$2=2,$B25&gt;=0),OFFSET('Input data (2)'!AT$126,'Input data (2)'!$BL$1-$B25,0),IF(AND('Input data (2)'!$C$2=1,$A25&gt;=0),OFFSET('Input data (2)'!AT$126,'Input data (2)'!$BL$1-$A25,0),""))))</f>
        <v>0.31396189246094863</v>
      </c>
      <c r="CB41" s="122"/>
      <c r="CC41" s="122"/>
      <c r="CD41" s="122"/>
      <c r="CE41" s="122"/>
      <c r="CG41" s="1">
        <v>3</v>
      </c>
      <c r="CI41" s="1">
        <f t="shared" ca="1" si="24"/>
        <v>2012</v>
      </c>
      <c r="CJ41" s="1" t="str">
        <f t="shared" si="25"/>
        <v>Q3</v>
      </c>
      <c r="CK41" s="1" t="str">
        <f t="shared" ca="1" si="12"/>
        <v>12</v>
      </c>
      <c r="CL41" s="1" t="str">
        <f t="shared" ca="1" si="13"/>
        <v>Q3 12</v>
      </c>
      <c r="CM41" s="1">
        <f ca="1">OFFSET('Input data (2)'!AJ$126,'Input data (2)'!$BL$1-'Output data - DO NOT TOUCH (2)'!$CG41,0)/1000</f>
        <v>7.7140000000000004</v>
      </c>
      <c r="CN41" s="1">
        <f ca="1">OFFSET('Input data (2)'!AK$126,'Input data (2)'!$BL$1-'Output data - DO NOT TOUCH (2)'!$CG41,0)/1000</f>
        <v>12.131</v>
      </c>
      <c r="CO41" s="1" t="e">
        <f ca="1">OFFSET('Input data (2)'!AL$126,'Input data (2)'!$BL$1-'Output data - DO NOT TOUCH (2)'!$CG41,0)/1000</f>
        <v>#VALUE!</v>
      </c>
      <c r="CP41" s="1"/>
      <c r="CQ41" s="1">
        <f ca="1">OFFSET('Input data (2)'!AG$126,'Input data (2)'!$BL$1-'Output data - DO NOT TOUCH (2)'!$CG41,0)/1000</f>
        <v>1.0780000000000001</v>
      </c>
      <c r="CR41" s="1">
        <f ca="1">OFFSET('Input data (2)'!AH$126,'Input data (2)'!$BL$1-'Output data - DO NOT TOUCH (2)'!$CG41,0)/1000</f>
        <v>2.8759999999999999</v>
      </c>
      <c r="CS41" s="1">
        <f ca="1">OFFSET('Input data (2)'!AI$126,'Input data (2)'!$BL$1-'Output data - DO NOT TOUCH (2)'!$CG41,0)/1000</f>
        <v>3.9540000000000002</v>
      </c>
      <c r="CT41" s="1"/>
      <c r="CU41" s="1">
        <f ca="1">OFFSET('Input data (2)'!L$126,'Input data (2)'!$BL$1-'Output data - DO NOT TOUCH (2)'!$CG41,0)</f>
        <v>277</v>
      </c>
      <c r="CV41" s="1">
        <f ca="1">OFFSET('Input data (2)'!M$126,'Input data (2)'!$BL$1-'Output data - DO NOT TOUCH (2)'!$CG41,0)</f>
        <v>0</v>
      </c>
      <c r="CW41" s="67">
        <f ca="1">OFFSET('Input data (2)'!N$126,'Input data (2)'!$BL$1-'Output data - DO NOT TOUCH (2)'!$CG41,0)</f>
        <v>548</v>
      </c>
      <c r="CX41" s="1">
        <f ca="1">OFFSET('Input data (2)'!P$126,'Input data (2)'!$BL$1-'Output data - DO NOT TOUCH (2)'!$CG41,0)</f>
        <v>161</v>
      </c>
      <c r="CY41" s="1"/>
      <c r="CZ41" s="1">
        <f ca="1">OFFSET('Input data (2)'!AY$126,'Input data (2)'!$BL$1-'Output data - DO NOT TOUCH (2)'!$CG41,0)/1000</f>
        <v>1.861</v>
      </c>
      <c r="DA41" s="1">
        <f ca="1">OFFSET('Input data (2)'!BA$126,'Input data (2)'!$BL$1-'Output data - DO NOT TOUCH (2)'!$CG41,0)/1000</f>
        <v>2.2040000000000002</v>
      </c>
      <c r="DB41" s="1">
        <f ca="1">OFFSET('Input data (2)'!BB$126,'Input data (2)'!$BL$1-'Output data - DO NOT TOUCH (2)'!$CG41,0)/1000</f>
        <v>4.0650000000000004</v>
      </c>
      <c r="DD41" s="1">
        <f ca="1">OFFSET('Input data (2)'!AN$126,'Input data (2)'!$BL$1-'Output data - DO NOT TOUCH (2)'!$CG41,0)</f>
        <v>204</v>
      </c>
      <c r="DE41" s="1">
        <f ca="1">OFFSET('Input data (2)'!AO$126,'Input data (2)'!$BL$1-'Output data - DO NOT TOUCH (2)'!$CG41,0)</f>
        <v>78</v>
      </c>
      <c r="DF41" s="1">
        <f ca="1">OFFSET('Input data (2)'!AP$126,'Input data (2)'!$BL$1-'Output data - DO NOT TOUCH (2)'!$CG41,0)</f>
        <v>282</v>
      </c>
      <c r="DG41" s="1"/>
      <c r="DH41" s="1">
        <f ca="1">OFFSET('Input data (2)'!AU$126,'Input data (2)'!$BL$1-'Output data - DO NOT TOUCH (2)'!$CG41,0)</f>
        <v>5</v>
      </c>
      <c r="DI41" s="1">
        <f ca="1">OFFSET('Input data (2)'!AV$126,'Input data (2)'!$BL$1-'Output data - DO NOT TOUCH (2)'!$CG41,0)</f>
        <v>0</v>
      </c>
      <c r="DJ41" s="1">
        <f ca="1">OFFSET('Input data (2)'!AW$126,'Input data (2)'!$BL$1-'Output data - DO NOT TOUCH (2)'!$CG41,0)</f>
        <v>33</v>
      </c>
      <c r="DK41" s="1">
        <f ca="1">OFFSET('Input data (2)'!AX$126,'Input data (2)'!$BL$1-'Output data - DO NOT TOUCH (2)'!$CG41,0)</f>
        <v>2</v>
      </c>
      <c r="DM41" s="1">
        <f ca="1">OFFSET('Input data (2)'!BI$126,'Input data (2)'!$BL$1-'Output data - DO NOT TOUCH (2)'!$CG41,0)</f>
        <v>307</v>
      </c>
      <c r="DN41" s="1">
        <f ca="1">OFFSET('Input data (2)'!BJ$126,'Input data (2)'!$BL$1-'Output data - DO NOT TOUCH (2)'!$CG41,0)</f>
        <v>393</v>
      </c>
      <c r="DO41" s="1">
        <f ca="1">OFFSET('Input data (2)'!BL$126,'Input data (2)'!$BL$1-'Output data - DO NOT TOUCH (2)'!$CG41,0)</f>
        <v>844</v>
      </c>
      <c r="DQ41" s="1">
        <f ca="1">OFFSET('Input data (2)'!BD$126,'Input data (2)'!$BL$1-'Output data - DO NOT TOUCH (2)'!$CG41,0)</f>
        <v>60</v>
      </c>
      <c r="DR41" s="1">
        <f ca="1">OFFSET('Input data (2)'!BE$126,'Input data (2)'!$BL$1-'Output data - DO NOT TOUCH (2)'!$CG41,0)</f>
        <v>35</v>
      </c>
      <c r="DS41" s="1">
        <f ca="1">OFFSET('Input data (2)'!BF$126,'Input data (2)'!$BL$1-'Output data - DO NOT TOUCH (2)'!$CG41,0)</f>
        <v>95</v>
      </c>
      <c r="DU41" s="1">
        <f ca="1">OFFSET('Input data (2)'!B$126,'Input data (2)'!$BL$1-'Output data - DO NOT TOUCH (2)'!$CG41-1,0)</f>
        <v>2012</v>
      </c>
      <c r="DV41" s="1" t="str">
        <f ca="1">OFFSET('Input data (2)'!C$126,'Input data (2)'!$BL$1-'Output data - DO NOT TOUCH (2)'!$CG41-1,0)</f>
        <v>Q2</v>
      </c>
      <c r="DW41" s="1" t="str">
        <f t="shared" ca="1" si="14"/>
        <v>12</v>
      </c>
      <c r="DX41" s="1" t="str">
        <f t="shared" ca="1" si="15"/>
        <v>Q2 12</v>
      </c>
      <c r="DY41" s="1">
        <f ca="1">OFFSET('Input data (2)'!W$126,'Input data (2)'!$BL$1-'Output data - DO NOT TOUCH (2)'!$CG41-1,0)/1000</f>
        <v>1.9730000000000001</v>
      </c>
      <c r="DZ41" s="1">
        <f ca="1">OFFSET('Input data (2)'!Y$126,'Input data (2)'!$BL$1-'Output data - DO NOT TOUCH (2)'!$CG41-1,0)/1000</f>
        <v>6.12</v>
      </c>
      <c r="EA41" s="1">
        <f ca="1">OFFSET('Input data (2)'!Q$126,'Input data (2)'!$BL$1-'Output data - DO NOT TOUCH (2)'!$CG41-1,0)/1000</f>
        <v>8.093</v>
      </c>
    </row>
    <row r="42" spans="1:131" x14ac:dyDescent="0.15">
      <c r="A42" s="1">
        <v>2</v>
      </c>
      <c r="B42" s="1">
        <v>3</v>
      </c>
      <c r="C42" s="1">
        <v>4</v>
      </c>
      <c r="D42" s="1">
        <v>1</v>
      </c>
      <c r="E42" s="1" t="str">
        <f>F42&amp;G42</f>
        <v>2008Q3</v>
      </c>
      <c r="F42" s="1">
        <f>F37+1</f>
        <v>2008</v>
      </c>
      <c r="G42" s="1" t="s">
        <v>3</v>
      </c>
      <c r="H42" s="1">
        <f>VLOOKUP($E42,'Input data (2)'!$A:$BL,'Output data - DO NOT TOUCH (2)'!H$71,FALSE)</f>
        <v>4059</v>
      </c>
      <c r="I42" s="1">
        <f>VLOOKUP($E42,'Input data (2)'!$A:$BL,'Output data - DO NOT TOUCH (2)'!I$71,FALSE)</f>
        <v>1467</v>
      </c>
      <c r="J42" s="1">
        <f>VLOOKUP($E42,'Input data (2)'!$A:$BL,'Output data - DO NOT TOUCH (2)'!J$71,FALSE)</f>
        <v>2592</v>
      </c>
      <c r="K42" s="1">
        <f>VLOOKUP($E42,'Input data (2)'!$A:$BL,'Output data - DO NOT TOUCH (2)'!K$71,FALSE)</f>
        <v>4152</v>
      </c>
      <c r="L42" s="1">
        <f>VLOOKUP($E42,'Input data (2)'!$A:$BL,'Output data - DO NOT TOUCH (2)'!L$71,FALSE)</f>
        <v>1537</v>
      </c>
      <c r="M42" s="1">
        <f>VLOOKUP($E42,'Input data (2)'!$A:$BL,'Output data - DO NOT TOUCH (2)'!M$71,FALSE)</f>
        <v>2615</v>
      </c>
      <c r="O42" s="119">
        <f ca="1">IF(AND('Input data (2)'!$C$2=4,$D26&gt;=0),OFFSET('Input data (2)'!O$126,'Input data (2)'!$BL$1-$D26,0),IF(AND('Input data (2)'!$C$2=3,$C26&gt;=0),OFFSET('Input data (2)'!O$126,'Input data (2)'!$BL$1-$C26,0),IF(AND('Input data (2)'!$C$2=2,$B26&gt;=0),OFFSET('Input data (2)'!O$126,'Input data (2)'!$BL$1-$B26,0),IF(AND('Input data (2)'!$C$2=1,$A26&gt;=0),OFFSET('Input data (2)'!O$126,'Input data (2)'!$BL$1-$A26,0),""))))</f>
        <v>264</v>
      </c>
      <c r="Q42" s="1">
        <f ca="1">IF(AND('Input data (2)'!$C$2=4,$D26&gt;=0),OFFSET('Input data (2)'!AC$126,'Input data (2)'!$BL$1-$D26,0),IF(AND('Input data (2)'!$C$2=3,$C26&gt;=0),OFFSET('Input data (2)'!AC$126,'Input data (2)'!$BL$1-$C26,0),IF(AND('Input data (2)'!$C$2=2,$B26&gt;=0),OFFSET('Input data (2)'!AC$126,'Input data (2)'!$BL$1-$B26,0),IF(AND('Input data (2)'!$C$2=1,$A26&gt;=0),OFFSET('Input data (2)'!AC$126,'Input data (2)'!$BL$1-$A26,0),""))))</f>
        <v>27488</v>
      </c>
      <c r="R42" s="1">
        <f ca="1">IF(AND('Input data (2)'!$C$2=4,$D26&gt;=0),OFFSET('Input data (2)'!Q$126,'Input data (2)'!$BL$1-$D26,0),IF(AND('Input data (2)'!$C$2=3,$C26&gt;=0),OFFSET('Input data (2)'!Q$126,'Input data (2)'!$BL$1-$C26,0),IF(AND('Input data (2)'!$C$2=2,$B26&gt;=0),OFFSET('Input data (2)'!Q$126,'Input data (2)'!$BL$1-$B26,0),IF(AND('Input data (2)'!$C$2=1,$A26&gt;=0),OFFSET('Input data (2)'!Q$126,'Input data (2)'!$BL$1-$A26,0),""))))</f>
        <v>17237</v>
      </c>
      <c r="S42" s="1" t="str">
        <f ca="1">IF(AND('Input data (2)'!$C$2=4,$D26&gt;=0),OFFSET('Input data (2)'!R$126,'Input data (2)'!$BL$1-$D26,0),IF(AND('Input data (2)'!$C$2=3,$C26&gt;=0),OFFSET('Input data (2)'!R$126,'Input data (2)'!$BL$1-$C26,0),IF(AND('Input data (2)'!$C$2=2,$B26&gt;=0),OFFSET('Input data (2)'!R$126,'Input data (2)'!$BL$1-$B26,0),IF(AND('Input data (2)'!$C$2=1,$A26&gt;=0),OFFSET('Input data (2)'!R$126,'Input data (2)'!$BL$1-$A26,0),""))))</f>
        <v>:</v>
      </c>
      <c r="T42" s="1">
        <f ca="1">IF(AND('Input data (2)'!$C$2=4,$D26&gt;=0),OFFSET('Input data (2)'!AA$126,'Input data (2)'!$BL$1-$D26,0),IF(AND('Input data (2)'!$C$2=3,$C26&gt;=0),OFFSET('Input data (2)'!AA$126,'Input data (2)'!$BL$1-$C26,0),IF(AND('Input data (2)'!$C$2=2,$B26&gt;=0),OFFSET('Input data (2)'!AA$126,'Input data (2)'!$BL$1-$B26,0),IF(AND('Input data (2)'!$C$2=1,$A26&gt;=0),OFFSET('Input data (2)'!AA$126,'Input data (2)'!$BL$1-$A26,0),""))))</f>
        <v>10251</v>
      </c>
      <c r="U42" s="1">
        <f ca="1">IF(AND('Input data (2)'!$C$2=4,$D26&gt;=0),OFFSET('Input data (2)'!AL$126,'Input data (2)'!$BL$1-$D26,0),IF(AND('Input data (2)'!$C$2=3,$C26&gt;=0),OFFSET('Input data (2)'!AL$126,'Input data (2)'!$BL$1-$C26,0),IF(AND('Input data (2)'!$C$2=2,$B26&gt;=0),OFFSET('Input data (2)'!AL$126,'Input data (2)'!$BL$1-$B26,0),IF(AND('Input data (2)'!$C$2=1,$A26&gt;=0),OFFSET('Input data (2)'!AL$126,'Input data (2)'!$BL$1-$A26,0),""))))</f>
        <v>27276</v>
      </c>
      <c r="V42" s="1">
        <f ca="1">IF(AND('Input data (2)'!$C$2=4,$D26&gt;=0),OFFSET('Input data (2)'!AJ$126,'Input data (2)'!$BL$1-$D26,0),IF(AND('Input data (2)'!$C$2=3,$C26&gt;=0),OFFSET('Input data (2)'!AJ$126,'Input data (2)'!$BL$1-$C26,0),IF(AND('Input data (2)'!$C$2=2,$B26&gt;=0),OFFSET('Input data (2)'!AJ$126,'Input data (2)'!$BL$1-$B26,0),IF(AND('Input data (2)'!$C$2=1,$A26&gt;=0),OFFSET('Input data (2)'!AJ$126,'Input data (2)'!$BL$1-$A26,0),""))))</f>
        <v>17474</v>
      </c>
      <c r="W42" s="1">
        <f ca="1">IF(AND('Input data (2)'!$C$2=4,$D26&gt;=0),OFFSET('Input data (2)'!AK$126,'Input data (2)'!$BL$1-$D26,0),IF(AND('Input data (2)'!$C$2=3,$C26&gt;=0),OFFSET('Input data (2)'!AK$126,'Input data (2)'!$BL$1-$C26,0),IF(AND('Input data (2)'!$C$2=2,$B26&gt;=0),OFFSET('Input data (2)'!AK$126,'Input data (2)'!$BL$1-$B26,0),IF(AND('Input data (2)'!$C$2=1,$A26&gt;=0),OFFSET('Input data (2)'!AK$126,'Input data (2)'!$BL$1-$A26,0),""))))</f>
        <v>9802</v>
      </c>
      <c r="Y42" s="1">
        <f ca="1">IF(AND('Input data (2)'!$C$2=4,$D26&gt;=0),OFFSET('Input data (2)'!Q$126,'Input data (2)'!$BL$1-$D26,0),IF(AND('Input data (2)'!$C$2=3,$C26&gt;=0),OFFSET('Input data (2)'!Q$126,'Input data (2)'!$BL$1-$C26,0),IF(AND('Input data (2)'!$C$2=2,$B26&gt;=0),OFFSET('Input data (2)'!Q$126,'Input data (2)'!$BL$1-$B26,0),IF(AND('Input data (2)'!$C$2=1,$A26&gt;=0),OFFSET('Input data (2)'!Q$126,'Input data (2)'!$BL$1-$A26,0),""))))</f>
        <v>17237</v>
      </c>
      <c r="Z42" s="1">
        <f ca="1">IF(AND('Input data (2)'!$C$2=4,$D26&gt;=0),OFFSET('Input data (2)'!S$126,'Input data (2)'!$BL$1-$D26,0),IF(AND('Input data (2)'!$C$2=3,$C26&gt;=0),OFFSET('Input data (2)'!S$126,'Input data (2)'!$BL$1-$C26,0),IF(AND('Input data (2)'!$C$2=2,$B26&gt;=0),OFFSET('Input data (2)'!S$126,'Input data (2)'!$BL$1-$B26,0),IF(AND('Input data (2)'!$C$2=1,$A26&gt;=0),OFFSET('Input data (2)'!S$126,'Input data (2)'!$BL$1-$A26,0),""))))</f>
        <v>14369</v>
      </c>
      <c r="AA42" s="1">
        <f ca="1">IF(AND('Input data (2)'!$C$2=4,$D26&gt;=0),OFFSET('Input data (2)'!T$126,'Input data (2)'!$BL$1-$D26,0),IF(AND('Input data (2)'!$C$2=3,$C26&gt;=0),OFFSET('Input data (2)'!T$126,'Input data (2)'!$BL$1-$C26,0),IF(AND('Input data (2)'!$C$2=2,$B26&gt;=0),OFFSET('Input data (2)'!T$126,'Input data (2)'!$BL$1-$B26,0),IF(AND('Input data (2)'!$C$2=1,$A26&gt;=0),OFFSET('Input data (2)'!T$126,'Input data (2)'!$BL$1-$A26,0),""))))</f>
        <v>83.361373788942387</v>
      </c>
      <c r="AB42" s="1">
        <f ca="1">IF(AND('Input data (2)'!$C$2=4,$D26&gt;=0),OFFSET('Input data (2)'!U$126,'Input data (2)'!$BL$1-$D26,0),IF(AND('Input data (2)'!$C$2=3,$C26&gt;=0),OFFSET('Input data (2)'!U$126,'Input data (2)'!$BL$1-$C26,0),IF(AND('Input data (2)'!$C$2=2,$B26&gt;=0),OFFSET('Input data (2)'!U$126,'Input data (2)'!$BL$1-$B26,0),IF(AND('Input data (2)'!$C$2=1,$A26&gt;=0),OFFSET('Input data (2)'!U$126,'Input data (2)'!$BL$1-$A26,0),""))))</f>
        <v>2868</v>
      </c>
      <c r="AC42" s="1">
        <f ca="1">IF(AND('Input data (2)'!$C$2=4,$D26&gt;=0),OFFSET('Input data (2)'!V$126,'Input data (2)'!$BL$1-$D26,0),IF(AND('Input data (2)'!$C$2=3,$C26&gt;=0),OFFSET('Input data (2)'!V$126,'Input data (2)'!$BL$1-$C26,0),IF(AND('Input data (2)'!$C$2=2,$B26&gt;=0),OFFSET('Input data (2)'!V$126,'Input data (2)'!$BL$1-$B26,0),IF(AND('Input data (2)'!$C$2=1,$A26&gt;=0),OFFSET('Input data (2)'!V$126,'Input data (2)'!$BL$1-$A26,0),""))))</f>
        <v>16.638626211057609</v>
      </c>
      <c r="AD42" s="1">
        <f ca="1">IF(AND('Input data (2)'!$C$2=4,$D26&gt;=0),OFFSET('Input data (2)'!Q$126,'Input data (2)'!$BL$1-$D26,0),IF(AND('Input data (2)'!$C$2=3,$C26&gt;=0),OFFSET('Input data (2)'!Q$126,'Input data (2)'!$BL$1-$C26,0),IF(AND('Input data (2)'!$C$2=2,$B26&gt;=0),OFFSET('Input data (2)'!Q$126,'Input data (2)'!$BL$1-$B26,0),IF(AND('Input data (2)'!$C$2=1,$A26&gt;=0),OFFSET('Input data (2)'!Q$126,'Input data (2)'!$BL$1-$A26,0),""))))</f>
        <v>17237</v>
      </c>
      <c r="AE42" s="1">
        <f ca="1">IF(AND('Input data (2)'!$C$2=4,$D26&gt;=0),OFFSET('Input data (2)'!W$126,'Input data (2)'!$BL$1-$D26,0),IF(AND('Input data (2)'!$C$2=3,$C26&gt;=0),OFFSET('Input data (2)'!W$126,'Input data (2)'!$BL$1-$C26,0),IF(AND('Input data (2)'!$C$2=2,$B26&gt;=0),OFFSET('Input data (2)'!W$126,'Input data (2)'!$BL$1-$B26,0),IF(AND('Input data (2)'!$C$2=1,$A26&gt;=0),OFFSET('Input data (2)'!W$126,'Input data (2)'!$BL$1-$A26,0),""))))</f>
        <v>2115</v>
      </c>
      <c r="AF42" s="1">
        <f ca="1">IF(AND('Input data (2)'!$C$2=4,$D26&gt;=0),OFFSET('Input data (2)'!X$126,'Input data (2)'!$BL$1-$D26,0),IF(AND('Input data (2)'!$C$2=3,$C26&gt;=0),OFFSET('Input data (2)'!X$126,'Input data (2)'!$BL$1-$C26,0),IF(AND('Input data (2)'!$C$2=2,$B26&gt;=0),OFFSET('Input data (2)'!X$126,'Input data (2)'!$BL$1-$B26,0),IF(AND('Input data (2)'!$C$2=1,$A26&gt;=0),OFFSET('Input data (2)'!X$126,'Input data (2)'!$BL$1-$A26,0),""))))</f>
        <v>12.270116609618844</v>
      </c>
      <c r="AG42" s="1">
        <f ca="1">IF(AND('Input data (2)'!$C$2=4,$D26&gt;=0),OFFSET('Input data (2)'!Y$126,'Input data (2)'!$BL$1-$D26,0),IF(AND('Input data (2)'!$C$2=3,$C26&gt;=0),OFFSET('Input data (2)'!Y$126,'Input data (2)'!$BL$1-$C26,0),IF(AND('Input data (2)'!$C$2=2,$B26&gt;=0),OFFSET('Input data (2)'!Y$126,'Input data (2)'!$BL$1-$B26,0),IF(AND('Input data (2)'!$C$2=1,$A26&gt;=0),OFFSET('Input data (2)'!Y$126,'Input data (2)'!$BL$1-$A26,0),""))))</f>
        <v>15122</v>
      </c>
      <c r="AH42" s="1">
        <f ca="1">IF(AND('Input data (2)'!$C$2=4,$D26&gt;=0),OFFSET('Input data (2)'!Z$126,'Input data (2)'!$BL$1-$D26,0),IF(AND('Input data (2)'!$C$2=3,$C26&gt;=0),OFFSET('Input data (2)'!Z$126,'Input data (2)'!$BL$1-$C26,0),IF(AND('Input data (2)'!$C$2=2,$B26&gt;=0),OFFSET('Input data (2)'!Z$126,'Input data (2)'!$BL$1-$B26,0),IF(AND('Input data (2)'!$C$2=1,$A26&gt;=0),OFFSET('Input data (2)'!Z$126,'Input data (2)'!$BL$1-$A26,0),""))))</f>
        <v>87.729883390381161</v>
      </c>
      <c r="AI42" s="3"/>
      <c r="AJ42" s="124">
        <f ca="1">IF(AND('Input data (2)'!$C$2=4,$D26&gt;=0),OFFSET('Input data (2)'!AF$126,'Input data (2)'!$BL$1-$D26,0),IF(AND('Input data (2)'!$C$2=3,$C26&gt;=0),OFFSET('Input data (2)'!AF$126,'Input data (2)'!$BL$1-$C26,0),IF(AND('Input data (2)'!$C$2=2,$B26&gt;=0),OFFSET('Input data (2)'!AF$126,'Input data (2)'!$BL$1-$B26,0),IF(AND('Input data (2)'!$C$2=1,$A26&gt;=0),OFFSET('Input data (2)'!AF$126,'Input data (2)'!$BL$1-$A26,0),""))))</f>
        <v>3923</v>
      </c>
      <c r="AK42" s="124">
        <f ca="1">IF(AND('Input data (2)'!$C$2=4,$D26&gt;=0),OFFSET('Input data (2)'!AD$126,'Input data (2)'!$BL$1-$D26,0),IF(AND('Input data (2)'!$C$2=3,$C26&gt;=0),OFFSET('Input data (2)'!AD$126,'Input data (2)'!$BL$1-$C26,0),IF(AND('Input data (2)'!$C$2=2,$B26&gt;=0),OFFSET('Input data (2)'!AD$126,'Input data (2)'!$BL$1-$B26,0),IF(AND('Input data (2)'!$C$2=1,$A26&gt;=0),OFFSET('Input data (2)'!AD$126,'Input data (2)'!$BL$1-$A26,0),""))))</f>
        <v>15</v>
      </c>
      <c r="AL42" s="124">
        <f ca="1">IF(AND('Input data (2)'!$C$2=4,$D26&gt;=0),OFFSET('Input data (2)'!AE$126,'Input data (2)'!$BL$1-$D26,0),IF(AND('Input data (2)'!$C$2=3,$C26&gt;=0),OFFSET('Input data (2)'!AE$126,'Input data (2)'!$BL$1-$C26,0),IF(AND('Input data (2)'!$C$2=2,$B26&gt;=0),OFFSET('Input data (2)'!AE$126,'Input data (2)'!$BL$1-$B26,0),IF(AND('Input data (2)'!$C$2=1,$A26&gt;=0),OFFSET('Input data (2)'!AE$126,'Input data (2)'!$BL$1-$A26,0),""))))</f>
        <v>3908</v>
      </c>
      <c r="AW42" s="1">
        <f ca="1">IF(AND('Input data (2)'!$C$2=4,$D26&gt;=0),OFFSET('Input data (2)'!L$126,'Input data (2)'!$BL$1-$D26,0),IF(AND('Input data (2)'!$C$2=3,$C26&gt;=0),OFFSET('Input data (2)'!L$126,'Input data (2)'!$BL$1-$C26,0),IF(AND('Input data (2)'!$C$2=2,$B26&gt;=0),OFFSET('Input data (2)'!L$126,'Input data (2)'!$BL$1-$B26,0),IF(AND('Input data (2)'!$C$2=1,$A26&gt;=0),OFFSET('Input data (2)'!L$126,'Input data (2)'!$BL$1-$A26,0),""))))</f>
        <v>270</v>
      </c>
      <c r="AX42" s="1">
        <f ca="1">IF(AND('Input data (2)'!$C$2=4,$D26&gt;=0),OFFSET('Input data (2)'!M$126,'Input data (2)'!$BL$1-$D26,0),IF(AND('Input data (2)'!$C$2=3,$C26&gt;=0),OFFSET('Input data (2)'!M$126,'Input data (2)'!$BL$1-$C26,0),IF(AND('Input data (2)'!$C$2=2,$B26&gt;=0),OFFSET('Input data (2)'!M$126,'Input data (2)'!$BL$1-$B26,0),IF(AND('Input data (2)'!$C$2=1,$A26&gt;=0),OFFSET('Input data (2)'!M$126,'Input data (2)'!$BL$1-$A26,0),""))))</f>
        <v>1</v>
      </c>
      <c r="AY42" s="1">
        <f ca="1">IF(AND('Input data (2)'!$C$2=4,$D26&gt;=0),OFFSET('Input data (2)'!N$126,'Input data (2)'!$BL$1-$D26,0),IF(AND('Input data (2)'!$C$2=3,$C26&gt;=0),OFFSET('Input data (2)'!N$126,'Input data (2)'!$BL$1-$C26,0),IF(AND('Input data (2)'!$C$2=2,$B26&gt;=0),OFFSET('Input data (2)'!N$126,'Input data (2)'!$BL$1-$B26,0),IF(AND('Input data (2)'!$C$2=1,$A26&gt;=0),OFFSET('Input data (2)'!N$126,'Input data (2)'!$BL$1-$A26,0),""))))</f>
        <v>1006</v>
      </c>
      <c r="AZ42" s="1">
        <f ca="1">IF(AND('Input data (2)'!$C$2=4,$D26&gt;=0),OFFSET('Input data (2)'!P$126,'Input data (2)'!$BL$1-$D26,0),IF(AND('Input data (2)'!$C$2=3,$C26&gt;=0),OFFSET('Input data (2)'!P$126,'Input data (2)'!$BL$1-$C26,0),IF(AND('Input data (2)'!$C$2=2,$B26&gt;=0),OFFSET('Input data (2)'!P$126,'Input data (2)'!$BL$1-$B26,0),IF(AND('Input data (2)'!$C$2=1,$A26&gt;=0),OFFSET('Input data (2)'!P$126,'Input data (2)'!$BL$1-$A26,0),""))))</f>
        <v>167</v>
      </c>
      <c r="BB42" s="1">
        <f ca="1">IF(AND('Input data (2)'!$C$2=4,$D26&gt;=0),OFFSET('Input data (2)'!BB$126,'Input data (2)'!$BL$1-$D26,0),IF(AND('Input data (2)'!$C$2=3,$C26&gt;=0),OFFSET('Input data (2)'!BB$126,'Input data (2)'!$BL$1-$C26,0),IF(AND('Input data (2)'!$C$2=2,$B26&gt;=0),OFFSET('Input data (2)'!BB$126,'Input data (2)'!$BL$1-$B26,0),IF(AND('Input data (2)'!$C$2=1,$A26&gt;=0),OFFSET('Input data (2)'!BB$126,'Input data (2)'!$BL$1-$A26,0),""))))</f>
        <v>6020</v>
      </c>
      <c r="BC42" s="1">
        <f ca="1">IF(AND('Input data (2)'!$C$2=4,$D26&gt;=0),OFFSET('Input data (2)'!AY$126,'Input data (2)'!$BL$1-$D26,0),IF(AND('Input data (2)'!$C$2=3,$C26&gt;=0),OFFSET('Input data (2)'!AY$126,'Input data (2)'!$BL$1-$C26,0),IF(AND('Input data (2)'!$C$2=2,$B26&gt;=0),OFFSET('Input data (2)'!AY$126,'Input data (2)'!$BL$1-$B26,0),IF(AND('Input data (2)'!$C$2=1,$A26&gt;=0),OFFSET('Input data (2)'!AY$126,'Input data (2)'!$BL$1-$A26,0),""))))</f>
        <v>4077</v>
      </c>
      <c r="BD42" s="1">
        <f ca="1">IF(AND('Input data (2)'!$C$2=4,$D26&gt;=0),OFFSET('Input data (2)'!AZ$126,'Input data (2)'!$BL$1-$D26,0),IF(AND('Input data (2)'!$C$2=3,$C26&gt;=0),OFFSET('Input data (2)'!AZ$126,'Input data (2)'!$BL$1-$C26,0),IF(AND('Input data (2)'!$C$2=2,$B26&gt;=0),OFFSET('Input data (2)'!AZ$126,'Input data (2)'!$BL$1-$B26,0),IF(AND('Input data (2)'!$C$2=1,$A26&gt;=0),OFFSET('Input data (2)'!AZ$126,'Input data (2)'!$BL$1-$A26,0),""))))</f>
        <v>2773</v>
      </c>
      <c r="BE42" s="1">
        <f ca="1">IF(AND('Input data (2)'!$C$2=4,$D26&gt;=0),OFFSET('Input data (2)'!BA$126,'Input data (2)'!$BL$1-$D26,0),IF(AND('Input data (2)'!$C$2=3,$C26&gt;=0),OFFSET('Input data (2)'!BA$126,'Input data (2)'!$BL$1-$C26,0),IF(AND('Input data (2)'!$C$2=2,$B26&gt;=0),OFFSET('Input data (2)'!BA$126,'Input data (2)'!$BL$1-$B26,0),IF(AND('Input data (2)'!$C$2=1,$A26&gt;=0),OFFSET('Input data (2)'!BA$126,'Input data (2)'!$BL$1-$A26,0),""))))</f>
        <v>1943</v>
      </c>
      <c r="BF42" s="1">
        <f ca="1">IF(AND('Input data (2)'!$C$2=4,$D26&gt;=0),OFFSET('Input data (2)'!AP$126,'Input data (2)'!$BL$1-$D26,0),IF(AND('Input data (2)'!$C$2=3,$C26&gt;=0),OFFSET('Input data (2)'!AP$126,'Input data (2)'!$BL$1-$C26,0),IF(AND('Input data (2)'!$C$2=2,$B26&gt;=0),OFFSET('Input data (2)'!AP$126,'Input data (2)'!$BL$1-$B26,0),IF(AND('Input data (2)'!$C$2=1,$A26&gt;=0),OFFSET('Input data (2)'!AP$126,'Input data (2)'!$BL$1-$A26,0),""))))</f>
        <v>127</v>
      </c>
      <c r="BG42" s="1">
        <f ca="1">IF(AND('Input data (2)'!$C$2=4,$D26&gt;=0),OFFSET('Input data (2)'!AN$126,'Input data (2)'!$BL$1-$D26,0),IF(AND('Input data (2)'!$C$2=3,$C26&gt;=0),OFFSET('Input data (2)'!AN$126,'Input data (2)'!$BL$1-$C26,0),IF(AND('Input data (2)'!$C$2=2,$B26&gt;=0),OFFSET('Input data (2)'!AN$126,'Input data (2)'!$BL$1-$B26,0),IF(AND('Input data (2)'!$C$2=1,$A26&gt;=0),OFFSET('Input data (2)'!AN$126,'Input data (2)'!$BL$1-$A26,0),""))))</f>
        <v>111</v>
      </c>
      <c r="BH42" s="1">
        <f ca="1">IF(AND('Input data (2)'!$C$2=4,$D26&gt;=0),OFFSET('Input data (2)'!AO$126,'Input data (2)'!$BL$1-$D26,0),IF(AND('Input data (2)'!$C$2=3,$C26&gt;=0),OFFSET('Input data (2)'!AO$126,'Input data (2)'!$BL$1-$C26,0),IF(AND('Input data (2)'!$C$2=2,$B26&gt;=0),OFFSET('Input data (2)'!AO$126,'Input data (2)'!$BL$1-$B26,0),IF(AND('Input data (2)'!$C$2=1,$A26&gt;=0),OFFSET('Input data (2)'!AO$126,'Input data (2)'!$BL$1-$A26,0),""))))</f>
        <v>16</v>
      </c>
      <c r="BJ42" s="1">
        <f ca="1">IF(AND('Input data (2)'!$C$2=4,$D26&gt;=0),OFFSET('Input data (2)'!AU$126,'Input data (2)'!$BL$1-$D26,0),IF(AND('Input data (2)'!$C$2=3,$C26&gt;=0),OFFSET('Input data (2)'!AU$126,'Input data (2)'!$BL$1-$C26,0),IF(AND('Input data (2)'!$C$2=2,$B26&gt;=0),OFFSET('Input data (2)'!AU$126,'Input data (2)'!$BL$1-$B26,0),IF(AND('Input data (2)'!$C$2=1,$A26&gt;=0),OFFSET('Input data (2)'!AU$126,'Input data (2)'!$BL$1-$A26,0),""))))</f>
        <v>43</v>
      </c>
      <c r="BK42" s="1">
        <f ca="1">IF(AND('Input data (2)'!$C$2=4,$D26&gt;=0),OFFSET('Input data (2)'!AV$126,'Input data (2)'!$BL$1-$D26,0),IF(AND('Input data (2)'!$C$2=3,$C26&gt;=0),OFFSET('Input data (2)'!AV$126,'Input data (2)'!$BL$1-$C26,0),IF(AND('Input data (2)'!$C$2=2,$B26&gt;=0),OFFSET('Input data (2)'!AV$126,'Input data (2)'!$BL$1-$B26,0),IF(AND('Input data (2)'!$C$2=1,$A26&gt;=0),OFFSET('Input data (2)'!AV$126,'Input data (2)'!$BL$1-$A26,0),""))))</f>
        <v>0</v>
      </c>
      <c r="BL42" s="1">
        <f ca="1">IF(AND('Input data (2)'!$C$2=4,$D26&gt;=0),OFFSET('Input data (2)'!AW$126,'Input data (2)'!$BL$1-$D26,0),IF(AND('Input data (2)'!$C$2=3,$C26&gt;=0),OFFSET('Input data (2)'!AW$126,'Input data (2)'!$BL$1-$C26,0),IF(AND('Input data (2)'!$C$2=2,$B26&gt;=0),OFFSET('Input data (2)'!AW$126,'Input data (2)'!$BL$1-$B26,0),IF(AND('Input data (2)'!$C$2=1,$A26&gt;=0),OFFSET('Input data (2)'!AW$126,'Input data (2)'!$BL$1-$A26,0),""))))</f>
        <v>21</v>
      </c>
      <c r="BM42" s="1">
        <f ca="1">IF(AND('Input data (2)'!$C$2=4,$D26&gt;=0),OFFSET('Input data (2)'!AX$126,'Input data (2)'!$BL$1-$D26,0),IF(AND('Input data (2)'!$C$2=3,$C26&gt;=0),OFFSET('Input data (2)'!AX$126,'Input data (2)'!$BL$1-$C26,0),IF(AND('Input data (2)'!$C$2=2,$B26&gt;=0),OFFSET('Input data (2)'!AX$126,'Input data (2)'!$BL$1-$B26,0),IF(AND('Input data (2)'!$C$2=1,$A26&gt;=0),OFFSET('Input data (2)'!AX$126,'Input data (2)'!$BL$1-$A26,0),""))))</f>
        <v>0</v>
      </c>
      <c r="BO42" s="1">
        <f ca="1">IF(AND('Input data (2)'!$C$2=4,$D26&gt;=0),OFFSET('Input data (2)'!BL$126,'Input data (2)'!$BL$1-$D26,0),IF(AND('Input data (2)'!$C$2=3,$C26&gt;=0),OFFSET('Input data (2)'!BL$126,'Input data (2)'!$BL$1-$C26,0),IF(AND('Input data (2)'!$C$2=2,$B26&gt;=0),OFFSET('Input data (2)'!BL$126,'Input data (2)'!$BL$1-$B26,0),IF(AND('Input data (2)'!$C$2=1,$A26&gt;=0),OFFSET('Input data (2)'!BL$126,'Input data (2)'!$BL$1-$A26,0),""))))</f>
        <v>386</v>
      </c>
      <c r="BP42" s="1">
        <f ca="1">IF(AND('Input data (2)'!$C$2=4,$D26&gt;=0),OFFSET('Input data (2)'!BI$126,'Input data (2)'!$BL$1-$D26,0),IF(AND('Input data (2)'!$C$2=3,$C26&gt;=0),OFFSET('Input data (2)'!BI$126,'Input data (2)'!$BL$1-$C26,0),IF(AND('Input data (2)'!$C$2=2,$B26&gt;=0),OFFSET('Input data (2)'!BI$126,'Input data (2)'!$BL$1-$B26,0),IF(AND('Input data (2)'!$C$2=1,$A26&gt;=0),OFFSET('Input data (2)'!BI$126,'Input data (2)'!$BL$1-$A26,0),""))))</f>
        <v>229</v>
      </c>
      <c r="BQ42" s="1" t="str">
        <f ca="1">IF(AND('Input data (2)'!$C$2=4,$D26&gt;=0),OFFSET('Input data (2)'!BK$126,'Input data (2)'!$BL$1-$D26,0),IF(AND('Input data (2)'!$C$2=3,$C26&gt;=0),OFFSET('Input data (2)'!BK$126,'Input data (2)'!$BL$1-$C26,0),IF(AND('Input data (2)'!$C$2=2,$B26&gt;=0),OFFSET('Input data (2)'!BK$126,'Input data (2)'!$BL$1-$B26,0),IF(AND('Input data (2)'!$C$2=1,$A26&gt;=0),OFFSET('Input data (2)'!BK$126,'Input data (2)'!$BL$1-$A26,0),""))))</f>
        <v>..</v>
      </c>
      <c r="BR42" s="1">
        <f ca="1">IF(AND('Input data (2)'!$C$2=4,$D26&gt;=0),OFFSET('Input data (2)'!BJ$126,'Input data (2)'!$BL$1-$D26,0),IF(AND('Input data (2)'!$C$2=3,$C26&gt;=0),OFFSET('Input data (2)'!BJ$126,'Input data (2)'!$BL$1-$C26,0),IF(AND('Input data (2)'!$C$2=2,$B26&gt;=0),OFFSET('Input data (2)'!BJ$126,'Input data (2)'!$BL$1-$B26,0),IF(AND('Input data (2)'!$C$2=1,$A26&gt;=0),OFFSET('Input data (2)'!BJ$126,'Input data (2)'!$BL$1-$A26,0),""))))</f>
        <v>157</v>
      </c>
      <c r="BS42" s="1">
        <f ca="1">IF(AND('Input data (2)'!$C$2=4,$D26&gt;=0),OFFSET('Input data (2)'!BF$126,'Input data (2)'!$BL$1-$D26,0),IF(AND('Input data (2)'!$C$2=3,$C26&gt;=0),OFFSET('Input data (2)'!BF$126,'Input data (2)'!$BL$1-$C26,0),IF(AND('Input data (2)'!$C$2=2,$B26&gt;=0),OFFSET('Input data (2)'!BF$126,'Input data (2)'!$BL$1-$B26,0),IF(AND('Input data (2)'!$C$2=1,$A26&gt;=0),OFFSET('Input data (2)'!BF$126,'Input data (2)'!$BL$1-$A26,0),""))))</f>
        <v>44</v>
      </c>
      <c r="BT42" s="1">
        <f ca="1">IF(AND('Input data (2)'!$C$2=4,$D26&gt;=0),OFFSET('Input data (2)'!BD$126,'Input data (2)'!$BL$1-$D26,0),IF(AND('Input data (2)'!$C$2=3,$C26&gt;=0),OFFSET('Input data (2)'!BD$126,'Input data (2)'!$BL$1-$C26,0),IF(AND('Input data (2)'!$C$2=2,$B26&gt;=0),OFFSET('Input data (2)'!BD$126,'Input data (2)'!$BL$1-$B26,0),IF(AND('Input data (2)'!$C$2=1,$A26&gt;=0),OFFSET('Input data (2)'!BD$126,'Input data (2)'!$BL$1-$A26,0),""))))</f>
        <v>27</v>
      </c>
      <c r="BU42" s="1">
        <f ca="1">IF(AND('Input data (2)'!$C$2=4,$D26&gt;=0),OFFSET('Input data (2)'!BE$126,'Input data (2)'!$BL$1-$D26,0),IF(AND('Input data (2)'!$C$2=3,$C26&gt;=0),OFFSET('Input data (2)'!BE$126,'Input data (2)'!$BL$1-$C26,0),IF(AND('Input data (2)'!$C$2=2,$B26&gt;=0),OFFSET('Input data (2)'!BE$126,'Input data (2)'!$BL$1-$B26,0),IF(AND('Input data (2)'!$C$2=1,$A26&gt;=0),OFFSET('Input data (2)'!BE$126,'Input data (2)'!$BL$1-$A26,0),""))))</f>
        <v>17</v>
      </c>
      <c r="BW42" s="7">
        <f ca="1">IF(AND('Input data (2)'!$C$2=4,$D26&gt;=0),OFFSET('Input data (2)'!J$126,'Input data (2)'!$BL$1-$D26,0),IF(AND('Input data (2)'!$C$2=3,$C26&gt;=0),OFFSET('Input data (2)'!J$126,'Input data (2)'!$BL$1-$C26,0),IF(AND('Input data (2)'!$C$2=2,$B26&gt;=0),OFFSET('Input data (2)'!J$126,'Input data (2)'!$BL$1-$B26,0),IF(AND('Input data (2)'!$C$2=1,$A26&gt;=0),OFFSET('Input data (2)'!J$126,'Input data (2)'!$BL$1-$A26,0),""))))</f>
        <v>0.64941834511360541</v>
      </c>
      <c r="BX42" s="7">
        <f ca="1">IF(AND('Input data (2)'!$C$2=4,$D26&gt;=0),OFFSET('Input data (2)'!K$126,'Input data (2)'!$BL$1-$D26,0),IF(AND('Input data (2)'!$C$2=3,$C26&gt;=0),OFFSET('Input data (2)'!K$126,'Input data (2)'!$BL$1-$C26,0),IF(AND('Input data (2)'!$C$2=2,$B26&gt;=0),OFFSET('Input data (2)'!K$126,'Input data (2)'!$BL$1-$B26,0),IF(AND('Input data (2)'!$C$2=1,$A26&gt;=0),OFFSET('Input data (2)'!K$126,'Input data (2)'!$BL$1-$A26,0),""))))</f>
        <v>0.58854149120510735</v>
      </c>
      <c r="BY42" s="7">
        <f ca="1">IF(AND('Input data (2)'!$C$2=4,$D26&gt;=0),OFFSET('Input data (2)'!AS$126,'Input data (2)'!$BL$1-$D26,0),IF(AND('Input data (2)'!$C$2=3,$C26&gt;=0),OFFSET('Input data (2)'!AS$126,'Input data (2)'!$BL$1-$C26,0),IF(AND('Input data (2)'!$C$2=2,$B26&gt;=0),OFFSET('Input data (2)'!AS$126,'Input data (2)'!$BL$1-$B26,0),IF(AND('Input data (2)'!$C$2=1,$A26&gt;=0),OFFSET('Input data (2)'!AS$126,'Input data (2)'!$BL$1-$A26,0),""))))</f>
        <v>0.34108084473843747</v>
      </c>
      <c r="BZ42" s="7">
        <f ca="1">IF(AND('Input data (2)'!$C$2=4,$D26&gt;=0),OFFSET('Input data (2)'!AT$126,'Input data (2)'!$BL$1-$D26,0),IF(AND('Input data (2)'!$C$2=3,$C26&gt;=0),OFFSET('Input data (2)'!AT$126,'Input data (2)'!$BL$1-$C26,0),IF(AND('Input data (2)'!$C$2=2,$B26&gt;=0),OFFSET('Input data (2)'!AT$126,'Input data (2)'!$BL$1-$B26,0),IF(AND('Input data (2)'!$C$2=1,$A26&gt;=0),OFFSET('Input data (2)'!AT$126,'Input data (2)'!$BL$1-$A26,0),""))))</f>
        <v>0.31111300560972721</v>
      </c>
      <c r="CB42" s="122"/>
      <c r="CC42" s="122"/>
      <c r="CD42" s="122"/>
      <c r="CE42" s="122"/>
      <c r="CG42" s="1">
        <v>2</v>
      </c>
      <c r="CI42" s="1">
        <f t="shared" ca="1" si="24"/>
        <v>2012</v>
      </c>
      <c r="CJ42" s="1" t="str">
        <f t="shared" si="25"/>
        <v>Q4</v>
      </c>
      <c r="CK42" s="1" t="str">
        <f t="shared" ca="1" si="12"/>
        <v>12</v>
      </c>
      <c r="CL42" s="1" t="str">
        <f t="shared" ca="1" si="13"/>
        <v>Q4 12</v>
      </c>
      <c r="CM42" s="1">
        <f ca="1">OFFSET('Input data (2)'!AJ$126,'Input data (2)'!$BL$1-'Output data - DO NOT TOUCH (2)'!$CG42,0)/1000</f>
        <v>7.274</v>
      </c>
      <c r="CN42" s="1">
        <f ca="1">OFFSET('Input data (2)'!AK$126,'Input data (2)'!$BL$1-'Output data - DO NOT TOUCH (2)'!$CG42,0)/1000</f>
        <v>10.798</v>
      </c>
      <c r="CO42" s="1" t="e">
        <f ca="1">OFFSET('Input data (2)'!AL$126,'Input data (2)'!$BL$1-'Output data - DO NOT TOUCH (2)'!$CG42,0)/1000</f>
        <v>#VALUE!</v>
      </c>
      <c r="CP42" s="1"/>
      <c r="CQ42" s="1">
        <f ca="1">OFFSET('Input data (2)'!AG$126,'Input data (2)'!$BL$1-'Output data - DO NOT TOUCH (2)'!$CG42,0)/1000</f>
        <v>0.93300000000000005</v>
      </c>
      <c r="CR42" s="1">
        <f ca="1">OFFSET('Input data (2)'!AH$126,'Input data (2)'!$BL$1-'Output data - DO NOT TOUCH (2)'!$CG42,0)/1000</f>
        <v>2.89</v>
      </c>
      <c r="CS42" s="1">
        <f ca="1">OFFSET('Input data (2)'!AI$126,'Input data (2)'!$BL$1-'Output data - DO NOT TOUCH (2)'!$CG42,0)/1000</f>
        <v>3.823</v>
      </c>
      <c r="CT42" s="1"/>
      <c r="CU42" s="1">
        <f ca="1">OFFSET('Input data (2)'!L$126,'Input data (2)'!$BL$1-'Output data - DO NOT TOUCH (2)'!$CG42,0)</f>
        <v>276</v>
      </c>
      <c r="CV42" s="1">
        <f ca="1">OFFSET('Input data (2)'!M$126,'Input data (2)'!$BL$1-'Output data - DO NOT TOUCH (2)'!$CG42,0)</f>
        <v>0</v>
      </c>
      <c r="CW42" s="67">
        <f ca="1">OFFSET('Input data (2)'!N$126,'Input data (2)'!$BL$1-'Output data - DO NOT TOUCH (2)'!$CG42,0)</f>
        <v>580</v>
      </c>
      <c r="CX42" s="1">
        <f ca="1">OFFSET('Input data (2)'!P$126,'Input data (2)'!$BL$1-'Output data - DO NOT TOUCH (2)'!$CG42,0)</f>
        <v>151</v>
      </c>
      <c r="CY42" s="1"/>
      <c r="CZ42" s="1">
        <f ca="1">OFFSET('Input data (2)'!AY$126,'Input data (2)'!$BL$1-'Output data - DO NOT TOUCH (2)'!$CG42,0)/1000</f>
        <v>1.833</v>
      </c>
      <c r="DA42" s="1">
        <f ca="1">OFFSET('Input data (2)'!BA$126,'Input data (2)'!$BL$1-'Output data - DO NOT TOUCH (2)'!$CG42,0)/1000</f>
        <v>2.0299999999999998</v>
      </c>
      <c r="DB42" s="1">
        <f ca="1">OFFSET('Input data (2)'!BB$126,'Input data (2)'!$BL$1-'Output data - DO NOT TOUCH (2)'!$CG42,0)/1000</f>
        <v>3.863</v>
      </c>
      <c r="DD42" s="1">
        <f ca="1">OFFSET('Input data (2)'!AN$126,'Input data (2)'!$BL$1-'Output data - DO NOT TOUCH (2)'!$CG42,0)</f>
        <v>98</v>
      </c>
      <c r="DE42" s="1">
        <f ca="1">OFFSET('Input data (2)'!AO$126,'Input data (2)'!$BL$1-'Output data - DO NOT TOUCH (2)'!$CG42,0)</f>
        <v>71</v>
      </c>
      <c r="DF42" s="1">
        <f ca="1">OFFSET('Input data (2)'!AP$126,'Input data (2)'!$BL$1-'Output data - DO NOT TOUCH (2)'!$CG42,0)</f>
        <v>169</v>
      </c>
      <c r="DG42" s="1"/>
      <c r="DH42" s="1">
        <f ca="1">OFFSET('Input data (2)'!AU$126,'Input data (2)'!$BL$1-'Output data - DO NOT TOUCH (2)'!$CG42,0)</f>
        <v>8</v>
      </c>
      <c r="DI42" s="1">
        <f ca="1">OFFSET('Input data (2)'!AV$126,'Input data (2)'!$BL$1-'Output data - DO NOT TOUCH (2)'!$CG42,0)</f>
        <v>0</v>
      </c>
      <c r="DJ42" s="1">
        <f ca="1">OFFSET('Input data (2)'!AW$126,'Input data (2)'!$BL$1-'Output data - DO NOT TOUCH (2)'!$CG42,0)</f>
        <v>44</v>
      </c>
      <c r="DK42" s="1">
        <f ca="1">OFFSET('Input data (2)'!AX$126,'Input data (2)'!$BL$1-'Output data - DO NOT TOUCH (2)'!$CG42,0)</f>
        <v>4</v>
      </c>
      <c r="DM42" s="1">
        <f ca="1">OFFSET('Input data (2)'!BI$126,'Input data (2)'!$BL$1-'Output data - DO NOT TOUCH (2)'!$CG42,0)</f>
        <v>359</v>
      </c>
      <c r="DN42" s="1">
        <f ca="1">OFFSET('Input data (2)'!BJ$126,'Input data (2)'!$BL$1-'Output data - DO NOT TOUCH (2)'!$CG42,0)</f>
        <v>280</v>
      </c>
      <c r="DO42" s="1">
        <f ca="1">OFFSET('Input data (2)'!BL$126,'Input data (2)'!$BL$1-'Output data - DO NOT TOUCH (2)'!$CG42,0)</f>
        <v>756</v>
      </c>
      <c r="DQ42" s="1">
        <f ca="1">OFFSET('Input data (2)'!BD$126,'Input data (2)'!$BL$1-'Output data - DO NOT TOUCH (2)'!$CG42,0)</f>
        <v>48</v>
      </c>
      <c r="DR42" s="1">
        <f ca="1">OFFSET('Input data (2)'!BE$126,'Input data (2)'!$BL$1-'Output data - DO NOT TOUCH (2)'!$CG42,0)</f>
        <v>38</v>
      </c>
      <c r="DS42" s="1">
        <f ca="1">OFFSET('Input data (2)'!BF$126,'Input data (2)'!$BL$1-'Output data - DO NOT TOUCH (2)'!$CG42,0)</f>
        <v>86</v>
      </c>
      <c r="DU42" s="1">
        <f ca="1">OFFSET('Input data (2)'!B$126,'Input data (2)'!$BL$1-'Output data - DO NOT TOUCH (2)'!$CG42-1,0)</f>
        <v>2012</v>
      </c>
      <c r="DV42" s="1" t="str">
        <f ca="1">OFFSET('Input data (2)'!C$126,'Input data (2)'!$BL$1-'Output data - DO NOT TOUCH (2)'!$CG42-1,0)</f>
        <v>Q3</v>
      </c>
      <c r="DW42" s="1" t="str">
        <f t="shared" ca="1" si="14"/>
        <v>12</v>
      </c>
      <c r="DX42" s="1" t="str">
        <f t="shared" ca="1" si="15"/>
        <v>Q3 12</v>
      </c>
      <c r="DY42" s="1">
        <f ca="1">OFFSET('Input data (2)'!W$126,'Input data (2)'!$BL$1-'Output data - DO NOT TOUCH (2)'!$CG42-1,0)/1000</f>
        <v>1.827</v>
      </c>
      <c r="DZ42" s="1">
        <f ca="1">OFFSET('Input data (2)'!Y$126,'Input data (2)'!$BL$1-'Output data - DO NOT TOUCH (2)'!$CG42-1,0)/1000</f>
        <v>5.8150000000000004</v>
      </c>
      <c r="EA42" s="1">
        <f ca="1">OFFSET('Input data (2)'!Q$126,'Input data (2)'!$BL$1-'Output data - DO NOT TOUCH (2)'!$CG42-1,0)/1000</f>
        <v>7.6420000000000003</v>
      </c>
    </row>
    <row r="43" spans="1:131" x14ac:dyDescent="0.15">
      <c r="A43" s="1">
        <v>1</v>
      </c>
      <c r="B43" s="1">
        <v>2</v>
      </c>
      <c r="C43" s="1">
        <v>3</v>
      </c>
      <c r="D43" s="1">
        <v>0</v>
      </c>
      <c r="E43" s="1" t="str">
        <f>F43&amp;G43</f>
        <v>2008Q4</v>
      </c>
      <c r="F43" s="1">
        <f>F38+1</f>
        <v>2008</v>
      </c>
      <c r="G43" s="1" t="s">
        <v>4</v>
      </c>
      <c r="H43" s="1">
        <f>VLOOKUP($E43,'Input data (2)'!$A:$BL,'Output data - DO NOT TOUCH (2)'!H$71,FALSE)</f>
        <v>4525</v>
      </c>
      <c r="I43" s="1">
        <f>VLOOKUP($E43,'Input data (2)'!$A:$BL,'Output data - DO NOT TOUCH (2)'!I$71,FALSE)</f>
        <v>1537</v>
      </c>
      <c r="J43" s="1">
        <f>VLOOKUP($E43,'Input data (2)'!$A:$BL,'Output data - DO NOT TOUCH (2)'!J$71,FALSE)</f>
        <v>2988</v>
      </c>
      <c r="K43" s="1">
        <f>VLOOKUP($E43,'Input data (2)'!$A:$BL,'Output data - DO NOT TOUCH (2)'!K$71,FALSE)</f>
        <v>4640</v>
      </c>
      <c r="L43" s="1">
        <f>VLOOKUP($E43,'Input data (2)'!$A:$BL,'Output data - DO NOT TOUCH (2)'!L$71,FALSE)</f>
        <v>1518</v>
      </c>
      <c r="M43" s="1">
        <f>VLOOKUP($E43,'Input data (2)'!$A:$BL,'Output data - DO NOT TOUCH (2)'!M$71,FALSE)</f>
        <v>3122</v>
      </c>
      <c r="O43" s="119">
        <f ca="1">IF(AND('Input data (2)'!$C$2=4,$D27&gt;=0),OFFSET('Input data (2)'!O$126,'Input data (2)'!$BL$1-$D27,0),IF(AND('Input data (2)'!$C$2=3,$C27&gt;=0),OFFSET('Input data (2)'!O$126,'Input data (2)'!$BL$1-$C27,0),IF(AND('Input data (2)'!$C$2=2,$B27&gt;=0),OFFSET('Input data (2)'!O$126,'Input data (2)'!$BL$1-$B27,0),IF(AND('Input data (2)'!$C$2=1,$A27&gt;=0),OFFSET('Input data (2)'!O$126,'Input data (2)'!$BL$1-$A27,0),""))))</f>
        <v>236</v>
      </c>
      <c r="Q43" s="1">
        <f ca="1">IF(AND('Input data (2)'!$C$2=4,$D27&gt;=0),OFFSET('Input data (2)'!AC$126,'Input data (2)'!$BL$1-$D27,0),IF(AND('Input data (2)'!$C$2=3,$C27&gt;=0),OFFSET('Input data (2)'!AC$126,'Input data (2)'!$BL$1-$C27,0),IF(AND('Input data (2)'!$C$2=2,$B27&gt;=0),OFFSET('Input data (2)'!AC$126,'Input data (2)'!$BL$1-$B27,0),IF(AND('Input data (2)'!$C$2=1,$A27&gt;=0),OFFSET('Input data (2)'!AC$126,'Input data (2)'!$BL$1-$A27,0),""))))</f>
        <v>28471</v>
      </c>
      <c r="R43" s="1">
        <f ca="1">IF(AND('Input data (2)'!$C$2=4,$D27&gt;=0),OFFSET('Input data (2)'!Q$126,'Input data (2)'!$BL$1-$D27,0),IF(AND('Input data (2)'!$C$2=3,$C27&gt;=0),OFFSET('Input data (2)'!Q$126,'Input data (2)'!$BL$1-$C27,0),IF(AND('Input data (2)'!$C$2=2,$B27&gt;=0),OFFSET('Input data (2)'!Q$126,'Input data (2)'!$BL$1-$B27,0),IF(AND('Input data (2)'!$C$2=1,$A27&gt;=0),OFFSET('Input data (2)'!Q$126,'Input data (2)'!$BL$1-$A27,0),""))))</f>
        <v>18004</v>
      </c>
      <c r="S43" s="1" t="str">
        <f ca="1">IF(AND('Input data (2)'!$C$2=4,$D27&gt;=0),OFFSET('Input data (2)'!R$126,'Input data (2)'!$BL$1-$D27,0),IF(AND('Input data (2)'!$C$2=3,$C27&gt;=0),OFFSET('Input data (2)'!R$126,'Input data (2)'!$BL$1-$C27,0),IF(AND('Input data (2)'!$C$2=2,$B27&gt;=0),OFFSET('Input data (2)'!R$126,'Input data (2)'!$BL$1-$B27,0),IF(AND('Input data (2)'!$C$2=1,$A27&gt;=0),OFFSET('Input data (2)'!R$126,'Input data (2)'!$BL$1-$A27,0),""))))</f>
        <v>:</v>
      </c>
      <c r="T43" s="1">
        <f ca="1">IF(AND('Input data (2)'!$C$2=4,$D27&gt;=0),OFFSET('Input data (2)'!AA$126,'Input data (2)'!$BL$1-$D27,0),IF(AND('Input data (2)'!$C$2=3,$C27&gt;=0),OFFSET('Input data (2)'!AA$126,'Input data (2)'!$BL$1-$C27,0),IF(AND('Input data (2)'!$C$2=2,$B27&gt;=0),OFFSET('Input data (2)'!AA$126,'Input data (2)'!$BL$1-$B27,0),IF(AND('Input data (2)'!$C$2=1,$A27&gt;=0),OFFSET('Input data (2)'!AA$126,'Input data (2)'!$BL$1-$A27,0),""))))</f>
        <v>10467</v>
      </c>
      <c r="U43" s="1">
        <f ca="1">IF(AND('Input data (2)'!$C$2=4,$D27&gt;=0),OFFSET('Input data (2)'!AL$126,'Input data (2)'!$BL$1-$D27,0),IF(AND('Input data (2)'!$C$2=3,$C27&gt;=0),OFFSET('Input data (2)'!AL$126,'Input data (2)'!$BL$1-$C27,0),IF(AND('Input data (2)'!$C$2=2,$B27&gt;=0),OFFSET('Input data (2)'!AL$126,'Input data (2)'!$BL$1-$B27,0),IF(AND('Input data (2)'!$C$2=1,$A27&gt;=0),OFFSET('Input data (2)'!AL$126,'Input data (2)'!$BL$1-$A27,0),""))))</f>
        <v>29234</v>
      </c>
      <c r="V43" s="1">
        <f ca="1">IF(AND('Input data (2)'!$C$2=4,$D27&gt;=0),OFFSET('Input data (2)'!AJ$126,'Input data (2)'!$BL$1-$D27,0),IF(AND('Input data (2)'!$C$2=3,$C27&gt;=0),OFFSET('Input data (2)'!AJ$126,'Input data (2)'!$BL$1-$C27,0),IF(AND('Input data (2)'!$C$2=2,$B27&gt;=0),OFFSET('Input data (2)'!AJ$126,'Input data (2)'!$BL$1-$B27,0),IF(AND('Input data (2)'!$C$2=1,$A27&gt;=0),OFFSET('Input data (2)'!AJ$126,'Input data (2)'!$BL$1-$A27,0),""))))</f>
        <v>18936</v>
      </c>
      <c r="W43" s="1">
        <f ca="1">IF(AND('Input data (2)'!$C$2=4,$D27&gt;=0),OFFSET('Input data (2)'!AK$126,'Input data (2)'!$BL$1-$D27,0),IF(AND('Input data (2)'!$C$2=3,$C27&gt;=0),OFFSET('Input data (2)'!AK$126,'Input data (2)'!$BL$1-$C27,0),IF(AND('Input data (2)'!$C$2=2,$B27&gt;=0),OFFSET('Input data (2)'!AK$126,'Input data (2)'!$BL$1-$B27,0),IF(AND('Input data (2)'!$C$2=1,$A27&gt;=0),OFFSET('Input data (2)'!AK$126,'Input data (2)'!$BL$1-$A27,0),""))))</f>
        <v>10298</v>
      </c>
      <c r="Y43" s="1">
        <f ca="1">IF(AND('Input data (2)'!$C$2=4,$D27&gt;=0),OFFSET('Input data (2)'!Q$126,'Input data (2)'!$BL$1-$D27,0),IF(AND('Input data (2)'!$C$2=3,$C27&gt;=0),OFFSET('Input data (2)'!Q$126,'Input data (2)'!$BL$1-$C27,0),IF(AND('Input data (2)'!$C$2=2,$B27&gt;=0),OFFSET('Input data (2)'!Q$126,'Input data (2)'!$BL$1-$B27,0),IF(AND('Input data (2)'!$C$2=1,$A27&gt;=0),OFFSET('Input data (2)'!Q$126,'Input data (2)'!$BL$1-$A27,0),""))))</f>
        <v>18004</v>
      </c>
      <c r="Z43" s="1">
        <f ca="1">IF(AND('Input data (2)'!$C$2=4,$D27&gt;=0),OFFSET('Input data (2)'!S$126,'Input data (2)'!$BL$1-$D27,0),IF(AND('Input data (2)'!$C$2=3,$C27&gt;=0),OFFSET('Input data (2)'!S$126,'Input data (2)'!$BL$1-$C27,0),IF(AND('Input data (2)'!$C$2=2,$B27&gt;=0),OFFSET('Input data (2)'!S$126,'Input data (2)'!$BL$1-$B27,0),IF(AND('Input data (2)'!$C$2=1,$A27&gt;=0),OFFSET('Input data (2)'!S$126,'Input data (2)'!$BL$1-$A27,0),""))))</f>
        <v>15202</v>
      </c>
      <c r="AA43" s="1">
        <f ca="1">IF(AND('Input data (2)'!$C$2=4,$D27&gt;=0),OFFSET('Input data (2)'!T$126,'Input data (2)'!$BL$1-$D27,0),IF(AND('Input data (2)'!$C$2=3,$C27&gt;=0),OFFSET('Input data (2)'!T$126,'Input data (2)'!$BL$1-$C27,0),IF(AND('Input data (2)'!$C$2=2,$B27&gt;=0),OFFSET('Input data (2)'!T$126,'Input data (2)'!$BL$1-$B27,0),IF(AND('Input data (2)'!$C$2=1,$A27&gt;=0),OFFSET('Input data (2)'!T$126,'Input data (2)'!$BL$1-$A27,0),""))))</f>
        <v>84.436791824039105</v>
      </c>
      <c r="AB43" s="1">
        <f ca="1">IF(AND('Input data (2)'!$C$2=4,$D27&gt;=0),OFFSET('Input data (2)'!U$126,'Input data (2)'!$BL$1-$D27,0),IF(AND('Input data (2)'!$C$2=3,$C27&gt;=0),OFFSET('Input data (2)'!U$126,'Input data (2)'!$BL$1-$C27,0),IF(AND('Input data (2)'!$C$2=2,$B27&gt;=0),OFFSET('Input data (2)'!U$126,'Input data (2)'!$BL$1-$B27,0),IF(AND('Input data (2)'!$C$2=1,$A27&gt;=0),OFFSET('Input data (2)'!U$126,'Input data (2)'!$BL$1-$A27,0),""))))</f>
        <v>2802</v>
      </c>
      <c r="AC43" s="1">
        <f ca="1">IF(AND('Input data (2)'!$C$2=4,$D27&gt;=0),OFFSET('Input data (2)'!V$126,'Input data (2)'!$BL$1-$D27,0),IF(AND('Input data (2)'!$C$2=3,$C27&gt;=0),OFFSET('Input data (2)'!V$126,'Input data (2)'!$BL$1-$C27,0),IF(AND('Input data (2)'!$C$2=2,$B27&gt;=0),OFFSET('Input data (2)'!V$126,'Input data (2)'!$BL$1-$B27,0),IF(AND('Input data (2)'!$C$2=1,$A27&gt;=0),OFFSET('Input data (2)'!V$126,'Input data (2)'!$BL$1-$A27,0),""))))</f>
        <v>15.563208175960897</v>
      </c>
      <c r="AD43" s="1">
        <f ca="1">IF(AND('Input data (2)'!$C$2=4,$D27&gt;=0),OFFSET('Input data (2)'!Q$126,'Input data (2)'!$BL$1-$D27,0),IF(AND('Input data (2)'!$C$2=3,$C27&gt;=0),OFFSET('Input data (2)'!Q$126,'Input data (2)'!$BL$1-$C27,0),IF(AND('Input data (2)'!$C$2=2,$B27&gt;=0),OFFSET('Input data (2)'!Q$126,'Input data (2)'!$BL$1-$B27,0),IF(AND('Input data (2)'!$C$2=1,$A27&gt;=0),OFFSET('Input data (2)'!Q$126,'Input data (2)'!$BL$1-$A27,0),""))))</f>
        <v>18004</v>
      </c>
      <c r="AE43" s="1">
        <f ca="1">IF(AND('Input data (2)'!$C$2=4,$D27&gt;=0),OFFSET('Input data (2)'!W$126,'Input data (2)'!$BL$1-$D27,0),IF(AND('Input data (2)'!$C$2=3,$C27&gt;=0),OFFSET('Input data (2)'!W$126,'Input data (2)'!$BL$1-$C27,0),IF(AND('Input data (2)'!$C$2=2,$B27&gt;=0),OFFSET('Input data (2)'!W$126,'Input data (2)'!$BL$1-$B27,0),IF(AND('Input data (2)'!$C$2=1,$A27&gt;=0),OFFSET('Input data (2)'!W$126,'Input data (2)'!$BL$1-$A27,0),""))))</f>
        <v>2325</v>
      </c>
      <c r="AF43" s="1">
        <f ca="1">IF(AND('Input data (2)'!$C$2=4,$D27&gt;=0),OFFSET('Input data (2)'!X$126,'Input data (2)'!$BL$1-$D27,0),IF(AND('Input data (2)'!$C$2=3,$C27&gt;=0),OFFSET('Input data (2)'!X$126,'Input data (2)'!$BL$1-$C27,0),IF(AND('Input data (2)'!$C$2=2,$B27&gt;=0),OFFSET('Input data (2)'!X$126,'Input data (2)'!$BL$1-$B27,0),IF(AND('Input data (2)'!$C$2=1,$A27&gt;=0),OFFSET('Input data (2)'!X$126,'Input data (2)'!$BL$1-$A27,0),""))))</f>
        <v>12.913796934014663</v>
      </c>
      <c r="AG43" s="1">
        <f ca="1">IF(AND('Input data (2)'!$C$2=4,$D27&gt;=0),OFFSET('Input data (2)'!Y$126,'Input data (2)'!$BL$1-$D27,0),IF(AND('Input data (2)'!$C$2=3,$C27&gt;=0),OFFSET('Input data (2)'!Y$126,'Input data (2)'!$BL$1-$C27,0),IF(AND('Input data (2)'!$C$2=2,$B27&gt;=0),OFFSET('Input data (2)'!Y$126,'Input data (2)'!$BL$1-$B27,0),IF(AND('Input data (2)'!$C$2=1,$A27&gt;=0),OFFSET('Input data (2)'!Y$126,'Input data (2)'!$BL$1-$A27,0),""))))</f>
        <v>15679</v>
      </c>
      <c r="AH43" s="1">
        <f ca="1">IF(AND('Input data (2)'!$C$2=4,$D27&gt;=0),OFFSET('Input data (2)'!Z$126,'Input data (2)'!$BL$1-$D27,0),IF(AND('Input data (2)'!$C$2=3,$C27&gt;=0),OFFSET('Input data (2)'!Z$126,'Input data (2)'!$BL$1-$C27,0),IF(AND('Input data (2)'!$C$2=2,$B27&gt;=0),OFFSET('Input data (2)'!Z$126,'Input data (2)'!$BL$1-$B27,0),IF(AND('Input data (2)'!$C$2=1,$A27&gt;=0),OFFSET('Input data (2)'!Z$126,'Input data (2)'!$BL$1-$A27,0),""))))</f>
        <v>87.08620306598533</v>
      </c>
      <c r="AI43" s="3"/>
      <c r="AJ43" s="124">
        <f ca="1">IF(AND('Input data (2)'!$C$2=4,$D27&gt;=0),OFFSET('Input data (2)'!AF$126,'Input data (2)'!$BL$1-$D27,0),IF(AND('Input data (2)'!$C$2=3,$C27&gt;=0),OFFSET('Input data (2)'!AF$126,'Input data (2)'!$BL$1-$C27,0),IF(AND('Input data (2)'!$C$2=2,$B27&gt;=0),OFFSET('Input data (2)'!AF$126,'Input data (2)'!$BL$1-$B27,0),IF(AND('Input data (2)'!$C$2=1,$A27&gt;=0),OFFSET('Input data (2)'!AF$126,'Input data (2)'!$BL$1-$A27,0),""))))</f>
        <v>4517</v>
      </c>
      <c r="AK43" s="124">
        <f ca="1">IF(AND('Input data (2)'!$C$2=4,$D27&gt;=0),OFFSET('Input data (2)'!AD$126,'Input data (2)'!$BL$1-$D27,0),IF(AND('Input data (2)'!$C$2=3,$C27&gt;=0),OFFSET('Input data (2)'!AD$126,'Input data (2)'!$BL$1-$C27,0),IF(AND('Input data (2)'!$C$2=2,$B27&gt;=0),OFFSET('Input data (2)'!AD$126,'Input data (2)'!$BL$1-$B27,0),IF(AND('Input data (2)'!$C$2=1,$A27&gt;=0),OFFSET('Input data (2)'!AD$126,'Input data (2)'!$BL$1-$A27,0),""))))</f>
        <v>22</v>
      </c>
      <c r="AL43" s="124">
        <f ca="1">IF(AND('Input data (2)'!$C$2=4,$D27&gt;=0),OFFSET('Input data (2)'!AE$126,'Input data (2)'!$BL$1-$D27,0),IF(AND('Input data (2)'!$C$2=3,$C27&gt;=0),OFFSET('Input data (2)'!AE$126,'Input data (2)'!$BL$1-$C27,0),IF(AND('Input data (2)'!$C$2=2,$B27&gt;=0),OFFSET('Input data (2)'!AE$126,'Input data (2)'!$BL$1-$B27,0),IF(AND('Input data (2)'!$C$2=1,$A27&gt;=0),OFFSET('Input data (2)'!AE$126,'Input data (2)'!$BL$1-$A27,0),""))))</f>
        <v>4495</v>
      </c>
      <c r="AW43" s="1">
        <f ca="1">IF(AND('Input data (2)'!$C$2=4,$D27&gt;=0),OFFSET('Input data (2)'!L$126,'Input data (2)'!$BL$1-$D27,0),IF(AND('Input data (2)'!$C$2=3,$C27&gt;=0),OFFSET('Input data (2)'!L$126,'Input data (2)'!$BL$1-$C27,0),IF(AND('Input data (2)'!$C$2=2,$B27&gt;=0),OFFSET('Input data (2)'!L$126,'Input data (2)'!$BL$1-$B27,0),IF(AND('Input data (2)'!$C$2=1,$A27&gt;=0),OFFSET('Input data (2)'!L$126,'Input data (2)'!$BL$1-$A27,0),""))))</f>
        <v>261</v>
      </c>
      <c r="AX43" s="1">
        <f ca="1">IF(AND('Input data (2)'!$C$2=4,$D27&gt;=0),OFFSET('Input data (2)'!M$126,'Input data (2)'!$BL$1-$D27,0),IF(AND('Input data (2)'!$C$2=3,$C27&gt;=0),OFFSET('Input data (2)'!M$126,'Input data (2)'!$BL$1-$C27,0),IF(AND('Input data (2)'!$C$2=2,$B27&gt;=0),OFFSET('Input data (2)'!M$126,'Input data (2)'!$BL$1-$B27,0),IF(AND('Input data (2)'!$C$2=1,$A27&gt;=0),OFFSET('Input data (2)'!M$126,'Input data (2)'!$BL$1-$A27,0),""))))</f>
        <v>0</v>
      </c>
      <c r="AY43" s="1">
        <f ca="1">IF(AND('Input data (2)'!$C$2=4,$D27&gt;=0),OFFSET('Input data (2)'!N$126,'Input data (2)'!$BL$1-$D27,0),IF(AND('Input data (2)'!$C$2=3,$C27&gt;=0),OFFSET('Input data (2)'!N$126,'Input data (2)'!$BL$1-$C27,0),IF(AND('Input data (2)'!$C$2=2,$B27&gt;=0),OFFSET('Input data (2)'!N$126,'Input data (2)'!$BL$1-$B27,0),IF(AND('Input data (2)'!$C$2=1,$A27&gt;=0),OFFSET('Input data (2)'!N$126,'Input data (2)'!$BL$1-$A27,0),""))))</f>
        <v>2018</v>
      </c>
      <c r="AZ43" s="1">
        <f ca="1">IF(AND('Input data (2)'!$C$2=4,$D27&gt;=0),OFFSET('Input data (2)'!P$126,'Input data (2)'!$BL$1-$D27,0),IF(AND('Input data (2)'!$C$2=3,$C27&gt;=0),OFFSET('Input data (2)'!P$126,'Input data (2)'!$BL$1-$C27,0),IF(AND('Input data (2)'!$C$2=2,$B27&gt;=0),OFFSET('Input data (2)'!P$126,'Input data (2)'!$BL$1-$B27,0),IF(AND('Input data (2)'!$C$2=1,$A27&gt;=0),OFFSET('Input data (2)'!P$126,'Input data (2)'!$BL$1-$A27,0),""))))</f>
        <v>149</v>
      </c>
      <c r="BB43" s="1">
        <f ca="1">IF(AND('Input data (2)'!$C$2=4,$D27&gt;=0),OFFSET('Input data (2)'!BB$126,'Input data (2)'!$BL$1-$D27,0),IF(AND('Input data (2)'!$C$2=3,$C27&gt;=0),OFFSET('Input data (2)'!BB$126,'Input data (2)'!$BL$1-$C27,0),IF(AND('Input data (2)'!$C$2=2,$B27&gt;=0),OFFSET('Input data (2)'!BB$126,'Input data (2)'!$BL$1-$B27,0),IF(AND('Input data (2)'!$C$2=1,$A27&gt;=0),OFFSET('Input data (2)'!BB$126,'Input data (2)'!$BL$1-$A27,0),""))))</f>
        <v>5833</v>
      </c>
      <c r="BC43" s="1">
        <f ca="1">IF(AND('Input data (2)'!$C$2=4,$D27&gt;=0),OFFSET('Input data (2)'!AY$126,'Input data (2)'!$BL$1-$D27,0),IF(AND('Input data (2)'!$C$2=3,$C27&gt;=0),OFFSET('Input data (2)'!AY$126,'Input data (2)'!$BL$1-$C27,0),IF(AND('Input data (2)'!$C$2=2,$B27&gt;=0),OFFSET('Input data (2)'!AY$126,'Input data (2)'!$BL$1-$B27,0),IF(AND('Input data (2)'!$C$2=1,$A27&gt;=0),OFFSET('Input data (2)'!AY$126,'Input data (2)'!$BL$1-$A27,0),""))))</f>
        <v>3996</v>
      </c>
      <c r="BD43" s="1">
        <f ca="1">IF(AND('Input data (2)'!$C$2=4,$D27&gt;=0),OFFSET('Input data (2)'!AZ$126,'Input data (2)'!$BL$1-$D27,0),IF(AND('Input data (2)'!$C$2=3,$C27&gt;=0),OFFSET('Input data (2)'!AZ$126,'Input data (2)'!$BL$1-$C27,0),IF(AND('Input data (2)'!$C$2=2,$B27&gt;=0),OFFSET('Input data (2)'!AZ$126,'Input data (2)'!$BL$1-$B27,0),IF(AND('Input data (2)'!$C$2=1,$A27&gt;=0),OFFSET('Input data (2)'!AZ$126,'Input data (2)'!$BL$1-$A27,0),""))))</f>
        <v>2651</v>
      </c>
      <c r="BE43" s="1">
        <f ca="1">IF(AND('Input data (2)'!$C$2=4,$D27&gt;=0),OFFSET('Input data (2)'!BA$126,'Input data (2)'!$BL$1-$D27,0),IF(AND('Input data (2)'!$C$2=3,$C27&gt;=0),OFFSET('Input data (2)'!BA$126,'Input data (2)'!$BL$1-$C27,0),IF(AND('Input data (2)'!$C$2=2,$B27&gt;=0),OFFSET('Input data (2)'!BA$126,'Input data (2)'!$BL$1-$B27,0),IF(AND('Input data (2)'!$C$2=1,$A27&gt;=0),OFFSET('Input data (2)'!BA$126,'Input data (2)'!$BL$1-$A27,0),""))))</f>
        <v>1837</v>
      </c>
      <c r="BF43" s="1">
        <f ca="1">IF(AND('Input data (2)'!$C$2=4,$D27&gt;=0),OFFSET('Input data (2)'!AP$126,'Input data (2)'!$BL$1-$D27,0),IF(AND('Input data (2)'!$C$2=3,$C27&gt;=0),OFFSET('Input data (2)'!AP$126,'Input data (2)'!$BL$1-$C27,0),IF(AND('Input data (2)'!$C$2=2,$B27&gt;=0),OFFSET('Input data (2)'!AP$126,'Input data (2)'!$BL$1-$B27,0),IF(AND('Input data (2)'!$C$2=1,$A27&gt;=0),OFFSET('Input data (2)'!AP$126,'Input data (2)'!$BL$1-$A27,0),""))))</f>
        <v>163</v>
      </c>
      <c r="BG43" s="1">
        <f ca="1">IF(AND('Input data (2)'!$C$2=4,$D27&gt;=0),OFFSET('Input data (2)'!AN$126,'Input data (2)'!$BL$1-$D27,0),IF(AND('Input data (2)'!$C$2=3,$C27&gt;=0),OFFSET('Input data (2)'!AN$126,'Input data (2)'!$BL$1-$C27,0),IF(AND('Input data (2)'!$C$2=2,$B27&gt;=0),OFFSET('Input data (2)'!AN$126,'Input data (2)'!$BL$1-$B27,0),IF(AND('Input data (2)'!$C$2=1,$A27&gt;=0),OFFSET('Input data (2)'!AN$126,'Input data (2)'!$BL$1-$A27,0),""))))</f>
        <v>120</v>
      </c>
      <c r="BH43" s="1">
        <f ca="1">IF(AND('Input data (2)'!$C$2=4,$D27&gt;=0),OFFSET('Input data (2)'!AO$126,'Input data (2)'!$BL$1-$D27,0),IF(AND('Input data (2)'!$C$2=3,$C27&gt;=0),OFFSET('Input data (2)'!AO$126,'Input data (2)'!$BL$1-$C27,0),IF(AND('Input data (2)'!$C$2=2,$B27&gt;=0),OFFSET('Input data (2)'!AO$126,'Input data (2)'!$BL$1-$B27,0),IF(AND('Input data (2)'!$C$2=1,$A27&gt;=0),OFFSET('Input data (2)'!AO$126,'Input data (2)'!$BL$1-$A27,0),""))))</f>
        <v>43</v>
      </c>
      <c r="BJ43" s="1">
        <f ca="1">IF(AND('Input data (2)'!$C$2=4,$D27&gt;=0),OFFSET('Input data (2)'!AU$126,'Input data (2)'!$BL$1-$D27,0),IF(AND('Input data (2)'!$C$2=3,$C27&gt;=0),OFFSET('Input data (2)'!AU$126,'Input data (2)'!$BL$1-$C27,0),IF(AND('Input data (2)'!$C$2=2,$B27&gt;=0),OFFSET('Input data (2)'!AU$126,'Input data (2)'!$BL$1-$B27,0),IF(AND('Input data (2)'!$C$2=1,$A27&gt;=0),OFFSET('Input data (2)'!AU$126,'Input data (2)'!$BL$1-$A27,0),""))))</f>
        <v>5</v>
      </c>
      <c r="BK43" s="1">
        <f ca="1">IF(AND('Input data (2)'!$C$2=4,$D27&gt;=0),OFFSET('Input data (2)'!AV$126,'Input data (2)'!$BL$1-$D27,0),IF(AND('Input data (2)'!$C$2=3,$C27&gt;=0),OFFSET('Input data (2)'!AV$126,'Input data (2)'!$BL$1-$C27,0),IF(AND('Input data (2)'!$C$2=2,$B27&gt;=0),OFFSET('Input data (2)'!AV$126,'Input data (2)'!$BL$1-$B27,0),IF(AND('Input data (2)'!$C$2=1,$A27&gt;=0),OFFSET('Input data (2)'!AV$126,'Input data (2)'!$BL$1-$A27,0),""))))</f>
        <v>0</v>
      </c>
      <c r="BL43" s="1">
        <f ca="1">IF(AND('Input data (2)'!$C$2=4,$D27&gt;=0),OFFSET('Input data (2)'!AW$126,'Input data (2)'!$BL$1-$D27,0),IF(AND('Input data (2)'!$C$2=3,$C27&gt;=0),OFFSET('Input data (2)'!AW$126,'Input data (2)'!$BL$1-$C27,0),IF(AND('Input data (2)'!$C$2=2,$B27&gt;=0),OFFSET('Input data (2)'!AW$126,'Input data (2)'!$BL$1-$B27,0),IF(AND('Input data (2)'!$C$2=1,$A27&gt;=0),OFFSET('Input data (2)'!AW$126,'Input data (2)'!$BL$1-$A27,0),""))))</f>
        <v>55</v>
      </c>
      <c r="BM43" s="1">
        <f ca="1">IF(AND('Input data (2)'!$C$2=4,$D27&gt;=0),OFFSET('Input data (2)'!AX$126,'Input data (2)'!$BL$1-$D27,0),IF(AND('Input data (2)'!$C$2=3,$C27&gt;=0),OFFSET('Input data (2)'!AX$126,'Input data (2)'!$BL$1-$C27,0),IF(AND('Input data (2)'!$C$2=2,$B27&gt;=0),OFFSET('Input data (2)'!AX$126,'Input data (2)'!$BL$1-$B27,0),IF(AND('Input data (2)'!$C$2=1,$A27&gt;=0),OFFSET('Input data (2)'!AX$126,'Input data (2)'!$BL$1-$A27,0),""))))</f>
        <v>2</v>
      </c>
      <c r="BO43" s="1">
        <f ca="1">IF(AND('Input data (2)'!$C$2=4,$D27&gt;=0),OFFSET('Input data (2)'!BL$126,'Input data (2)'!$BL$1-$D27,0),IF(AND('Input data (2)'!$C$2=3,$C27&gt;=0),OFFSET('Input data (2)'!BL$126,'Input data (2)'!$BL$1-$C27,0),IF(AND('Input data (2)'!$C$2=2,$B27&gt;=0),OFFSET('Input data (2)'!BL$126,'Input data (2)'!$BL$1-$B27,0),IF(AND('Input data (2)'!$C$2=1,$A27&gt;=0),OFFSET('Input data (2)'!BL$126,'Input data (2)'!$BL$1-$A27,0),""))))</f>
        <v>443</v>
      </c>
      <c r="BP43" s="1">
        <f ca="1">IF(AND('Input data (2)'!$C$2=4,$D27&gt;=0),OFFSET('Input data (2)'!BI$126,'Input data (2)'!$BL$1-$D27,0),IF(AND('Input data (2)'!$C$2=3,$C27&gt;=0),OFFSET('Input data (2)'!BI$126,'Input data (2)'!$BL$1-$C27,0),IF(AND('Input data (2)'!$C$2=2,$B27&gt;=0),OFFSET('Input data (2)'!BI$126,'Input data (2)'!$BL$1-$B27,0),IF(AND('Input data (2)'!$C$2=1,$A27&gt;=0),OFFSET('Input data (2)'!BI$126,'Input data (2)'!$BL$1-$A27,0),""))))</f>
        <v>293</v>
      </c>
      <c r="BQ43" s="1" t="str">
        <f ca="1">IF(AND('Input data (2)'!$C$2=4,$D27&gt;=0),OFFSET('Input data (2)'!BK$126,'Input data (2)'!$BL$1-$D27,0),IF(AND('Input data (2)'!$C$2=3,$C27&gt;=0),OFFSET('Input data (2)'!BK$126,'Input data (2)'!$BL$1-$C27,0),IF(AND('Input data (2)'!$C$2=2,$B27&gt;=0),OFFSET('Input data (2)'!BK$126,'Input data (2)'!$BL$1-$B27,0),IF(AND('Input data (2)'!$C$2=1,$A27&gt;=0),OFFSET('Input data (2)'!BK$126,'Input data (2)'!$BL$1-$A27,0),""))))</f>
        <v>..</v>
      </c>
      <c r="BR43" s="1">
        <f ca="1">IF(AND('Input data (2)'!$C$2=4,$D27&gt;=0),OFFSET('Input data (2)'!BJ$126,'Input data (2)'!$BL$1-$D27,0),IF(AND('Input data (2)'!$C$2=3,$C27&gt;=0),OFFSET('Input data (2)'!BJ$126,'Input data (2)'!$BL$1-$C27,0),IF(AND('Input data (2)'!$C$2=2,$B27&gt;=0),OFFSET('Input data (2)'!BJ$126,'Input data (2)'!$BL$1-$B27,0),IF(AND('Input data (2)'!$C$2=1,$A27&gt;=0),OFFSET('Input data (2)'!BJ$126,'Input data (2)'!$BL$1-$A27,0),""))))</f>
        <v>150</v>
      </c>
      <c r="BS43" s="1">
        <f ca="1">IF(AND('Input data (2)'!$C$2=4,$D27&gt;=0),OFFSET('Input data (2)'!BF$126,'Input data (2)'!$BL$1-$D27,0),IF(AND('Input data (2)'!$C$2=3,$C27&gt;=0),OFFSET('Input data (2)'!BF$126,'Input data (2)'!$BL$1-$C27,0),IF(AND('Input data (2)'!$C$2=2,$B27&gt;=0),OFFSET('Input data (2)'!BF$126,'Input data (2)'!$BL$1-$B27,0),IF(AND('Input data (2)'!$C$2=1,$A27&gt;=0),OFFSET('Input data (2)'!BF$126,'Input data (2)'!$BL$1-$A27,0),""))))</f>
        <v>66</v>
      </c>
      <c r="BT43" s="1">
        <f ca="1">IF(AND('Input data (2)'!$C$2=4,$D27&gt;=0),OFFSET('Input data (2)'!BD$126,'Input data (2)'!$BL$1-$D27,0),IF(AND('Input data (2)'!$C$2=3,$C27&gt;=0),OFFSET('Input data (2)'!BD$126,'Input data (2)'!$BL$1-$C27,0),IF(AND('Input data (2)'!$C$2=2,$B27&gt;=0),OFFSET('Input data (2)'!BD$126,'Input data (2)'!$BL$1-$B27,0),IF(AND('Input data (2)'!$C$2=1,$A27&gt;=0),OFFSET('Input data (2)'!BD$126,'Input data (2)'!$BL$1-$A27,0),""))))</f>
        <v>52</v>
      </c>
      <c r="BU43" s="1">
        <f ca="1">IF(AND('Input data (2)'!$C$2=4,$D27&gt;=0),OFFSET('Input data (2)'!BE$126,'Input data (2)'!$BL$1-$D27,0),IF(AND('Input data (2)'!$C$2=3,$C27&gt;=0),OFFSET('Input data (2)'!BE$126,'Input data (2)'!$BL$1-$C27,0),IF(AND('Input data (2)'!$C$2=2,$B27&gt;=0),OFFSET('Input data (2)'!BE$126,'Input data (2)'!$BL$1-$B27,0),IF(AND('Input data (2)'!$C$2=1,$A27&gt;=0),OFFSET('Input data (2)'!BE$126,'Input data (2)'!$BL$1-$A27,0),""))))</f>
        <v>14</v>
      </c>
      <c r="BW43" s="7">
        <f ca="1">IF(AND('Input data (2)'!$C$2=4,$D27&gt;=0),OFFSET('Input data (2)'!J$126,'Input data (2)'!$BL$1-$D27,0),IF(AND('Input data (2)'!$C$2=3,$C27&gt;=0),OFFSET('Input data (2)'!J$126,'Input data (2)'!$BL$1-$C27,0),IF(AND('Input data (2)'!$C$2=2,$B27&gt;=0),OFFSET('Input data (2)'!J$126,'Input data (2)'!$BL$1-$B27,0),IF(AND('Input data (2)'!$C$2=1,$A27&gt;=0),OFFSET('Input data (2)'!J$126,'Input data (2)'!$BL$1-$A27,0),""))))</f>
        <v>0.71826028736495495</v>
      </c>
      <c r="BX43" s="7">
        <f ca="1">IF(AND('Input data (2)'!$C$2=4,$D27&gt;=0),OFFSET('Input data (2)'!K$126,'Input data (2)'!$BL$1-$D27,0),IF(AND('Input data (2)'!$C$2=3,$C27&gt;=0),OFFSET('Input data (2)'!K$126,'Input data (2)'!$BL$1-$C27,0),IF(AND('Input data (2)'!$C$2=2,$B27&gt;=0),OFFSET('Input data (2)'!K$126,'Input data (2)'!$BL$1-$B27,0),IF(AND('Input data (2)'!$C$2=1,$A27&gt;=0),OFFSET('Input data (2)'!K$126,'Input data (2)'!$BL$1-$A27,0),""))))</f>
        <v>0.64385674135564142</v>
      </c>
      <c r="BY43" s="7">
        <f ca="1">IF(AND('Input data (2)'!$C$2=4,$D27&gt;=0),OFFSET('Input data (2)'!AS$126,'Input data (2)'!$BL$1-$D27,0),IF(AND('Input data (2)'!$C$2=3,$C27&gt;=0),OFFSET('Input data (2)'!AS$126,'Input data (2)'!$BL$1-$C27,0),IF(AND('Input data (2)'!$C$2=2,$B27&gt;=0),OFFSET('Input data (2)'!AS$126,'Input data (2)'!$BL$1-$B27,0),IF(AND('Input data (2)'!$C$2=1,$A27&gt;=0),OFFSET('Input data (2)'!AS$126,'Input data (2)'!$BL$1-$A27,0),""))))</f>
        <v>0.39854248045791824</v>
      </c>
      <c r="BZ43" s="7">
        <f ca="1">IF(AND('Input data (2)'!$C$2=4,$D27&gt;=0),OFFSET('Input data (2)'!AT$126,'Input data (2)'!$BL$1-$D27,0),IF(AND('Input data (2)'!$C$2=3,$C27&gt;=0),OFFSET('Input data (2)'!AT$126,'Input data (2)'!$BL$1-$C27,0),IF(AND('Input data (2)'!$C$2=2,$B27&gt;=0),OFFSET('Input data (2)'!AT$126,'Input data (2)'!$BL$1-$B27,0),IF(AND('Input data (2)'!$C$2=1,$A27&gt;=0),OFFSET('Input data (2)'!AT$126,'Input data (2)'!$BL$1-$A27,0),""))))</f>
        <v>0.36301307782323783</v>
      </c>
      <c r="CB43" s="122"/>
      <c r="CC43" s="122"/>
      <c r="CD43" s="122"/>
      <c r="CE43" s="122"/>
      <c r="CG43" s="1">
        <v>1</v>
      </c>
      <c r="CI43" s="1">
        <f t="shared" ca="1" si="24"/>
        <v>2013</v>
      </c>
      <c r="CJ43" s="1" t="str">
        <f t="shared" si="25"/>
        <v>Q1</v>
      </c>
      <c r="CK43" s="1" t="str">
        <f t="shared" ca="1" si="12"/>
        <v>13</v>
      </c>
      <c r="CL43" s="1" t="str">
        <f t="shared" ca="1" si="13"/>
        <v>Q1 13</v>
      </c>
      <c r="CM43" s="1">
        <f ca="1">OFFSET('Input data (2)'!AJ$126,'Input data (2)'!$BL$1-'Output data - DO NOT TOUCH (2)'!$CG43,0)/1000</f>
        <v>6.6297460956043199</v>
      </c>
      <c r="CN43" s="1">
        <f ca="1">OFFSET('Input data (2)'!AK$126,'Input data (2)'!$BL$1-'Output data - DO NOT TOUCH (2)'!$CG43,0)/1000</f>
        <v>11.982720977050299</v>
      </c>
      <c r="CO43" s="1" t="e">
        <f ca="1">OFFSET('Input data (2)'!AL$126,'Input data (2)'!$BL$1-'Output data - DO NOT TOUCH (2)'!$CG43,0)/1000</f>
        <v>#VALUE!</v>
      </c>
      <c r="CP43" s="1"/>
      <c r="CQ43" s="1">
        <f ca="1">OFFSET('Input data (2)'!AG$126,'Input data (2)'!$BL$1-'Output data - DO NOT TOUCH (2)'!$CG43,0)/1000</f>
        <v>1.02883399058485</v>
      </c>
      <c r="CR43" s="1">
        <f ca="1">OFFSET('Input data (2)'!AH$126,'Input data (2)'!$BL$1-'Output data - DO NOT TOUCH (2)'!$CG43,0)/1000</f>
        <v>2.5724194415021899</v>
      </c>
      <c r="CS43" s="1">
        <f ca="1">OFFSET('Input data (2)'!AI$126,'Input data (2)'!$BL$1-'Output data - DO NOT TOUCH (2)'!$CG43,0)/1000</f>
        <v>3.6012534320870402</v>
      </c>
      <c r="CT43" s="1"/>
      <c r="CU43" s="1">
        <f ca="1">OFFSET('Input data (2)'!L$126,'Input data (2)'!$BL$1-'Output data - DO NOT TOUCH (2)'!$CG43,0)</f>
        <v>236</v>
      </c>
      <c r="CV43" s="1">
        <f ca="1">OFFSET('Input data (2)'!M$126,'Input data (2)'!$BL$1-'Output data - DO NOT TOUCH (2)'!$CG43,0)</f>
        <v>0</v>
      </c>
      <c r="CW43" s="67">
        <f ca="1">OFFSET('Input data (2)'!N$126,'Input data (2)'!$BL$1-'Output data - DO NOT TOUCH (2)'!$CG43,0)</f>
        <v>557</v>
      </c>
      <c r="CX43" s="1">
        <f ca="1">OFFSET('Input data (2)'!P$126,'Input data (2)'!$BL$1-'Output data - DO NOT TOUCH (2)'!$CG43,0)</f>
        <v>142</v>
      </c>
      <c r="CY43" s="1"/>
      <c r="CZ43" s="1">
        <f ca="1">OFFSET('Input data (2)'!AY$126,'Input data (2)'!$BL$1-'Output data - DO NOT TOUCH (2)'!$CG43,0)/1000</f>
        <v>1.8340000000000001</v>
      </c>
      <c r="DA43" s="1">
        <f ca="1">OFFSET('Input data (2)'!BA$126,'Input data (2)'!$BL$1-'Output data - DO NOT TOUCH (2)'!$CG43,0)/1000</f>
        <v>1.6519999999999999</v>
      </c>
      <c r="DB43" s="1">
        <f ca="1">OFFSET('Input data (2)'!BB$126,'Input data (2)'!$BL$1-'Output data - DO NOT TOUCH (2)'!$CG43,0)/1000</f>
        <v>3.4860000000000002</v>
      </c>
      <c r="DD43" s="1">
        <f ca="1">OFFSET('Input data (2)'!AN$126,'Input data (2)'!$BL$1-'Output data - DO NOT TOUCH (2)'!$CG43,0)</f>
        <v>59</v>
      </c>
      <c r="DE43" s="1">
        <f ca="1">OFFSET('Input data (2)'!AO$126,'Input data (2)'!$BL$1-'Output data - DO NOT TOUCH (2)'!$CG43,0)</f>
        <v>54</v>
      </c>
      <c r="DF43" s="1">
        <f ca="1">OFFSET('Input data (2)'!AP$126,'Input data (2)'!$BL$1-'Output data - DO NOT TOUCH (2)'!$CG43,0)</f>
        <v>113</v>
      </c>
      <c r="DG43" s="1"/>
      <c r="DH43" s="1">
        <f ca="1">OFFSET('Input data (2)'!AU$126,'Input data (2)'!$BL$1-'Output data - DO NOT TOUCH (2)'!$CG43,0)</f>
        <v>7</v>
      </c>
      <c r="DI43" s="1">
        <f ca="1">OFFSET('Input data (2)'!AV$126,'Input data (2)'!$BL$1-'Output data - DO NOT TOUCH (2)'!$CG43,0)</f>
        <v>0</v>
      </c>
      <c r="DJ43" s="1">
        <f ca="1">OFFSET('Input data (2)'!AW$126,'Input data (2)'!$BL$1-'Output data - DO NOT TOUCH (2)'!$CG43,0)</f>
        <v>42</v>
      </c>
      <c r="DK43" s="1">
        <f ca="1">OFFSET('Input data (2)'!AX$126,'Input data (2)'!$BL$1-'Output data - DO NOT TOUCH (2)'!$CG43,0)</f>
        <v>2</v>
      </c>
      <c r="DM43" s="1">
        <f ca="1">OFFSET('Input data (2)'!BI$126,'Input data (2)'!$BL$1-'Output data - DO NOT TOUCH (2)'!$CG43,0)</f>
        <v>328</v>
      </c>
      <c r="DN43" s="1">
        <f ca="1">OFFSET('Input data (2)'!BJ$126,'Input data (2)'!$BL$1-'Output data - DO NOT TOUCH (2)'!$CG43,0)</f>
        <v>389</v>
      </c>
      <c r="DO43" s="1">
        <f ca="1">OFFSET('Input data (2)'!BL$126,'Input data (2)'!$BL$1-'Output data - DO NOT TOUCH (2)'!$CG43,0)</f>
        <v>836</v>
      </c>
      <c r="DQ43" s="1">
        <f ca="1">OFFSET('Input data (2)'!BD$126,'Input data (2)'!$BL$1-'Output data - DO NOT TOUCH (2)'!$CG43,0)</f>
        <v>30</v>
      </c>
      <c r="DR43" s="1">
        <f ca="1">OFFSET('Input data (2)'!BE$126,'Input data (2)'!$BL$1-'Output data - DO NOT TOUCH (2)'!$CG43,0)</f>
        <v>25</v>
      </c>
      <c r="DS43" s="1">
        <f ca="1">OFFSET('Input data (2)'!BF$126,'Input data (2)'!$BL$1-'Output data - DO NOT TOUCH (2)'!$CG43,0)</f>
        <v>55</v>
      </c>
      <c r="DU43" s="1">
        <f ca="1">OFFSET('Input data (2)'!B$126,'Input data (2)'!$BL$1-'Output data - DO NOT TOUCH (2)'!$CG43-1,0)</f>
        <v>2012</v>
      </c>
      <c r="DV43" s="1" t="str">
        <f ca="1">OFFSET('Input data (2)'!C$126,'Input data (2)'!$BL$1-'Output data - DO NOT TOUCH (2)'!$CG43-1,0)</f>
        <v>Q4</v>
      </c>
      <c r="DW43" s="1" t="str">
        <f t="shared" ca="1" si="14"/>
        <v>12</v>
      </c>
      <c r="DX43" s="1" t="str">
        <f t="shared" ca="1" si="15"/>
        <v>Q4 12</v>
      </c>
      <c r="DY43" s="1">
        <f ca="1">OFFSET('Input data (2)'!W$126,'Input data (2)'!$BL$1-'Output data - DO NOT TOUCH (2)'!$CG43-1,0)/1000</f>
        <v>1.71</v>
      </c>
      <c r="DZ43" s="1">
        <f ca="1">OFFSET('Input data (2)'!Y$126,'Input data (2)'!$BL$1-'Output data - DO NOT TOUCH (2)'!$CG43-1,0)/1000</f>
        <v>5.2110000000000003</v>
      </c>
      <c r="EA43" s="1">
        <f ca="1">OFFSET('Input data (2)'!Q$126,'Input data (2)'!$BL$1-'Output data - DO NOT TOUCH (2)'!$CG43-1,0)/1000</f>
        <v>6.9210000000000003</v>
      </c>
    </row>
    <row r="44" spans="1:131" x14ac:dyDescent="0.15">
      <c r="A44" s="1">
        <v>0</v>
      </c>
      <c r="B44" s="1">
        <v>1</v>
      </c>
      <c r="C44" s="1">
        <v>2</v>
      </c>
      <c r="D44" s="1">
        <v>-1</v>
      </c>
      <c r="CG44" s="1">
        <v>0</v>
      </c>
      <c r="CI44" s="1">
        <f t="shared" si="24"/>
        <v>2013</v>
      </c>
      <c r="CJ44" s="1" t="str">
        <f t="shared" si="25"/>
        <v>Q2</v>
      </c>
      <c r="CK44" s="1" t="str">
        <f t="shared" si="12"/>
        <v>13</v>
      </c>
      <c r="CL44" s="1" t="str">
        <f t="shared" si="13"/>
        <v>Q2 13</v>
      </c>
      <c r="CM44" s="1">
        <f ca="1">OFFSET('Input data (2)'!AJ$126,'Input data (2)'!$BL$1-'Output data - DO NOT TOUCH (2)'!$CG44,0)/1000</f>
        <v>6.1917959128950999</v>
      </c>
      <c r="CN44" s="1">
        <f ca="1">OFFSET('Input data (2)'!AK$126,'Input data (2)'!$BL$1-'Output data - DO NOT TOUCH (2)'!$CG44,0)/1000</f>
        <v>12.0230569837868</v>
      </c>
      <c r="CO44" s="1">
        <f ca="1">OFFSET('Input data (2)'!AL$126,'Input data (2)'!$BL$1-'Output data - DO NOT TOUCH (2)'!$CG44,0)/1000</f>
        <v>18.214852896681901</v>
      </c>
      <c r="CP44" s="1"/>
      <c r="CQ44" s="1">
        <f ca="1">OFFSET('Input data (2)'!AG$126,'Input data (2)'!$BL$1-'Output data - DO NOT TOUCH (2)'!$CG44,0)/1000</f>
        <v>0.961004552723978</v>
      </c>
      <c r="CR44" s="1">
        <f ca="1">OFFSET('Input data (2)'!AH$126,'Input data (2)'!$BL$1-'Output data - DO NOT TOUCH (2)'!$CG44,0)/1000</f>
        <v>3.01689847808293</v>
      </c>
      <c r="CS44" s="1">
        <f ca="1">OFFSET('Input data (2)'!AI$126,'Input data (2)'!$BL$1-'Output data - DO NOT TOUCH (2)'!$CG44,0)/1000</f>
        <v>3.9779030308069081</v>
      </c>
      <c r="CT44" s="1"/>
      <c r="CU44" s="1">
        <f ca="1">OFFSET('Input data (2)'!L$126,'Input data (2)'!$BL$1-'Output data - DO NOT TOUCH (2)'!$CG44,0)</f>
        <v>192</v>
      </c>
      <c r="CV44" s="1">
        <f ca="1">OFFSET('Input data (2)'!M$126,'Input data (2)'!$BL$1-'Output data - DO NOT TOUCH (2)'!$CG44,0)</f>
        <v>0</v>
      </c>
      <c r="CW44" s="67">
        <f ca="1">OFFSET('Input data (2)'!N$126,'Input data (2)'!$BL$1-'Output data - DO NOT TOUCH (2)'!$CG44,0)</f>
        <v>622</v>
      </c>
      <c r="CX44" s="1">
        <f ca="1">OFFSET('Input data (2)'!P$126,'Input data (2)'!$BL$1-'Output data - DO NOT TOUCH (2)'!$CG44,0)</f>
        <v>160</v>
      </c>
      <c r="CY44" s="1"/>
      <c r="CZ44" s="1">
        <f ca="1">OFFSET('Input data (2)'!AY$126,'Input data (2)'!$BL$1-'Output data - DO NOT TOUCH (2)'!$CG44,0)/1000</f>
        <v>1.9610000000000001</v>
      </c>
      <c r="DA44" s="1">
        <f ca="1">OFFSET('Input data (2)'!BA$126,'Input data (2)'!$BL$1-'Output data - DO NOT TOUCH (2)'!$CG44,0)/1000</f>
        <v>2.0379999999999998</v>
      </c>
      <c r="DB44" s="1">
        <f ca="1">OFFSET('Input data (2)'!BB$126,'Input data (2)'!$BL$1-'Output data - DO NOT TOUCH (2)'!$CG44,0)/1000</f>
        <v>3.9990000000000001</v>
      </c>
      <c r="DD44" s="1">
        <f ca="1">OFFSET('Input data (2)'!AN$126,'Input data (2)'!$BL$1-'Output data - DO NOT TOUCH (2)'!$CG44,0)</f>
        <v>83</v>
      </c>
      <c r="DE44" s="1">
        <f ca="1">OFFSET('Input data (2)'!AO$126,'Input data (2)'!$BL$1-'Output data - DO NOT TOUCH (2)'!$CG44,0)</f>
        <v>75</v>
      </c>
      <c r="DF44" s="1">
        <f ca="1">OFFSET('Input data (2)'!AP$126,'Input data (2)'!$BL$1-'Output data - DO NOT TOUCH (2)'!$CG44,0)</f>
        <v>158</v>
      </c>
      <c r="DG44" s="1"/>
      <c r="DH44" s="1">
        <f ca="1">OFFSET('Input data (2)'!AU$126,'Input data (2)'!$BL$1-'Output data - DO NOT TOUCH (2)'!$CG44,0)</f>
        <v>1</v>
      </c>
      <c r="DI44" s="1">
        <f ca="1">OFFSET('Input data (2)'!AV$126,'Input data (2)'!$BL$1-'Output data - DO NOT TOUCH (2)'!$CG44,0)</f>
        <v>0</v>
      </c>
      <c r="DJ44" s="1">
        <f ca="1">OFFSET('Input data (2)'!AW$126,'Input data (2)'!$BL$1-'Output data - DO NOT TOUCH (2)'!$CG44,0)</f>
        <v>35</v>
      </c>
      <c r="DK44" s="1">
        <f ca="1">OFFSET('Input data (2)'!AX$126,'Input data (2)'!$BL$1-'Output data - DO NOT TOUCH (2)'!$CG44,0)</f>
        <v>3</v>
      </c>
      <c r="DM44" s="1">
        <f ca="1">OFFSET('Input data (2)'!BI$126,'Input data (2)'!$BL$1-'Output data - DO NOT TOUCH (2)'!$CG44,0)</f>
        <v>374</v>
      </c>
      <c r="DN44" s="1">
        <f ca="1">OFFSET('Input data (2)'!BJ$126,'Input data (2)'!$BL$1-'Output data - DO NOT TOUCH (2)'!$CG44,0)</f>
        <v>353</v>
      </c>
      <c r="DO44" s="1">
        <f ca="1">OFFSET('Input data (2)'!BL$126,'Input data (2)'!$BL$1-'Output data - DO NOT TOUCH (2)'!$CG44,0)</f>
        <v>894</v>
      </c>
      <c r="DQ44" s="1">
        <f ca="1">OFFSET('Input data (2)'!BD$126,'Input data (2)'!$BL$1-'Output data - DO NOT TOUCH (2)'!$CG44,0)</f>
        <v>66</v>
      </c>
      <c r="DR44" s="1">
        <f ca="1">OFFSET('Input data (2)'!BE$126,'Input data (2)'!$BL$1-'Output data - DO NOT TOUCH (2)'!$CG44,0)</f>
        <v>39</v>
      </c>
      <c r="DS44" s="1">
        <f ca="1">OFFSET('Input data (2)'!BF$126,'Input data (2)'!$BL$1-'Output data - DO NOT TOUCH (2)'!$CG44,0)</f>
        <v>105</v>
      </c>
      <c r="DU44" s="1">
        <f ca="1">OFFSET('Input data (2)'!B$126,'Input data (2)'!$BL$1-'Output data - DO NOT TOUCH (2)'!$CG44-1,0)</f>
        <v>2013</v>
      </c>
      <c r="DV44" s="1" t="str">
        <f ca="1">OFFSET('Input data (2)'!C$126,'Input data (2)'!$BL$1-'Output data - DO NOT TOUCH (2)'!$CG44-1,0)</f>
        <v>Q1</v>
      </c>
      <c r="DW44" s="1" t="str">
        <f t="shared" ca="1" si="14"/>
        <v>13</v>
      </c>
      <c r="DX44" s="1" t="str">
        <f t="shared" ca="1" si="15"/>
        <v>Q1 13</v>
      </c>
      <c r="DY44" s="1">
        <f ca="1">OFFSET('Input data (2)'!W$126,'Input data (2)'!$BL$1-'Output data - DO NOT TOUCH (2)'!$CG44-1,0)/1000</f>
        <v>1.6819999999999999</v>
      </c>
      <c r="DZ44" s="1">
        <f ca="1">OFFSET('Input data (2)'!Y$126,'Input data (2)'!$BL$1-'Output data - DO NOT TOUCH (2)'!$CG44-1,0)/1000</f>
        <v>4.9909999999999997</v>
      </c>
      <c r="EA44" s="1">
        <f ca="1">OFFSET('Input data (2)'!Q$126,'Input data (2)'!$BL$1-'Output data - DO NOT TOUCH (2)'!$CG44-1,0)/1000</f>
        <v>6.673</v>
      </c>
    </row>
    <row r="45" spans="1:131" x14ac:dyDescent="0.15">
      <c r="A45" s="1">
        <v>-1</v>
      </c>
      <c r="B45" s="1">
        <v>0</v>
      </c>
      <c r="C45" s="1">
        <v>1</v>
      </c>
      <c r="D45" s="1">
        <v>-2</v>
      </c>
      <c r="E45" s="1" t="str">
        <f>F45&amp;G45</f>
        <v>2009Q1</v>
      </c>
      <c r="F45" s="1">
        <f>F40+1</f>
        <v>2009</v>
      </c>
      <c r="G45" s="1" t="s">
        <v>1</v>
      </c>
      <c r="H45" s="1">
        <f>VLOOKUP($E45,'Input data (2)'!$A:$BL,'Output data - DO NOT TOUCH (2)'!H$71,FALSE)</f>
        <v>5110</v>
      </c>
      <c r="I45" s="1">
        <f>VLOOKUP($E45,'Input data (2)'!$A:$BL,'Output data - DO NOT TOUCH (2)'!I$71,FALSE)</f>
        <v>1555</v>
      </c>
      <c r="J45" s="1">
        <f>VLOOKUP($E45,'Input data (2)'!$A:$BL,'Output data - DO NOT TOUCH (2)'!J$71,FALSE)</f>
        <v>3555</v>
      </c>
      <c r="K45" s="1">
        <f>VLOOKUP($E45,'Input data (2)'!$A:$BL,'Output data - DO NOT TOUCH (2)'!K$71,FALSE)</f>
        <v>4883</v>
      </c>
      <c r="L45" s="1">
        <f>VLOOKUP($E45,'Input data (2)'!$A:$BL,'Output data - DO NOT TOUCH (2)'!L$71,FALSE)</f>
        <v>1522</v>
      </c>
      <c r="M45" s="1">
        <f>VLOOKUP($E45,'Input data (2)'!$A:$BL,'Output data - DO NOT TOUCH (2)'!M$71,FALSE)</f>
        <v>3361</v>
      </c>
      <c r="O45" s="119">
        <f ca="1">IF(AND('Input data (2)'!$C$2=4,$D28&gt;=0),OFFSET('Input data (2)'!O$126,'Input data (2)'!$BL$1-$D28,0),IF(AND('Input data (2)'!$C$2=3,$C28&gt;=0),OFFSET('Input data (2)'!O$126,'Input data (2)'!$BL$1-$C28,0),IF(AND('Input data (2)'!$C$2=2,$B28&gt;=0),OFFSET('Input data (2)'!O$126,'Input data (2)'!$BL$1-$B28,0),IF(AND('Input data (2)'!$C$2=1,$A28&gt;=0),OFFSET('Input data (2)'!O$126,'Input data (2)'!$BL$1-$A28,0),""))))</f>
        <v>340</v>
      </c>
      <c r="Q45" s="1">
        <f ca="1">IF(AND('Input data (2)'!$C$2=4,$D28&gt;=0),OFFSET('Input data (2)'!AC$126,'Input data (2)'!$BL$1-$D28,0),IF(AND('Input data (2)'!$C$2=3,$C28&gt;=0),OFFSET('Input data (2)'!AC$126,'Input data (2)'!$BL$1-$C28,0),IF(AND('Input data (2)'!$C$2=2,$B28&gt;=0),OFFSET('Input data (2)'!AC$126,'Input data (2)'!$BL$1-$B28,0),IF(AND('Input data (2)'!$C$2=1,$A28&gt;=0),OFFSET('Input data (2)'!AC$126,'Input data (2)'!$BL$1-$A28,0),""))))</f>
        <v>30253</v>
      </c>
      <c r="R45" s="1">
        <f ca="1">IF(AND('Input data (2)'!$C$2=4,$D28&gt;=0),OFFSET('Input data (2)'!Q$126,'Input data (2)'!$BL$1-$D28,0),IF(AND('Input data (2)'!$C$2=3,$C28&gt;=0),OFFSET('Input data (2)'!Q$126,'Input data (2)'!$BL$1-$C28,0),IF(AND('Input data (2)'!$C$2=2,$B28&gt;=0),OFFSET('Input data (2)'!Q$126,'Input data (2)'!$BL$1-$B28,0),IF(AND('Input data (2)'!$C$2=1,$A28&gt;=0),OFFSET('Input data (2)'!Q$126,'Input data (2)'!$BL$1-$A28,0),""))))</f>
        <v>20446</v>
      </c>
      <c r="S45" s="1" t="str">
        <f ca="1">IF(AND('Input data (2)'!$C$2=4,$D28&gt;=0),OFFSET('Input data (2)'!R$126,'Input data (2)'!$BL$1-$D28,0),IF(AND('Input data (2)'!$C$2=3,$C28&gt;=0),OFFSET('Input data (2)'!R$126,'Input data (2)'!$BL$1-$C28,0),IF(AND('Input data (2)'!$C$2=2,$B28&gt;=0),OFFSET('Input data (2)'!R$126,'Input data (2)'!$BL$1-$B28,0),IF(AND('Input data (2)'!$C$2=1,$A28&gt;=0),OFFSET('Input data (2)'!R$126,'Input data (2)'!$BL$1-$A28,0),""))))</f>
        <v>:</v>
      </c>
      <c r="T45" s="1">
        <f ca="1">IF(AND('Input data (2)'!$C$2=4,$D28&gt;=0),OFFSET('Input data (2)'!AA$126,'Input data (2)'!$BL$1-$D28,0),IF(AND('Input data (2)'!$C$2=3,$C28&gt;=0),OFFSET('Input data (2)'!AA$126,'Input data (2)'!$BL$1-$C28,0),IF(AND('Input data (2)'!$C$2=2,$B28&gt;=0),OFFSET('Input data (2)'!AA$126,'Input data (2)'!$BL$1-$B28,0),IF(AND('Input data (2)'!$C$2=1,$A28&gt;=0),OFFSET('Input data (2)'!AA$126,'Input data (2)'!$BL$1-$A28,0),""))))</f>
        <v>9807</v>
      </c>
      <c r="U45" s="1">
        <f ca="1">IF(AND('Input data (2)'!$C$2=4,$D28&gt;=0),OFFSET('Input data (2)'!AL$126,'Input data (2)'!$BL$1-$D28,0),IF(AND('Input data (2)'!$C$2=3,$C28&gt;=0),OFFSET('Input data (2)'!AL$126,'Input data (2)'!$BL$1-$C28,0),IF(AND('Input data (2)'!$C$2=2,$B28&gt;=0),OFFSET('Input data (2)'!AL$126,'Input data (2)'!$BL$1-$B28,0),IF(AND('Input data (2)'!$C$2=1,$A28&gt;=0),OFFSET('Input data (2)'!AL$126,'Input data (2)'!$BL$1-$A28,0),""))))</f>
        <v>29680</v>
      </c>
      <c r="V45" s="1">
        <f ca="1">IF(AND('Input data (2)'!$C$2=4,$D28&gt;=0),OFFSET('Input data (2)'!AJ$126,'Input data (2)'!$BL$1-$D28,0),IF(AND('Input data (2)'!$C$2=3,$C28&gt;=0),OFFSET('Input data (2)'!AJ$126,'Input data (2)'!$BL$1-$C28,0),IF(AND('Input data (2)'!$C$2=2,$B28&gt;=0),OFFSET('Input data (2)'!AJ$126,'Input data (2)'!$BL$1-$B28,0),IF(AND('Input data (2)'!$C$2=1,$A28&gt;=0),OFFSET('Input data (2)'!AJ$126,'Input data (2)'!$BL$1-$A28,0),""))))</f>
        <v>18958</v>
      </c>
      <c r="W45" s="1">
        <f ca="1">IF(AND('Input data (2)'!$C$2=4,$D28&gt;=0),OFFSET('Input data (2)'!AK$126,'Input data (2)'!$BL$1-$D28,0),IF(AND('Input data (2)'!$C$2=3,$C28&gt;=0),OFFSET('Input data (2)'!AK$126,'Input data (2)'!$BL$1-$C28,0),IF(AND('Input data (2)'!$C$2=2,$B28&gt;=0),OFFSET('Input data (2)'!AK$126,'Input data (2)'!$BL$1-$B28,0),IF(AND('Input data (2)'!$C$2=1,$A28&gt;=0),OFFSET('Input data (2)'!AK$126,'Input data (2)'!$BL$1-$A28,0),""))))</f>
        <v>10722</v>
      </c>
      <c r="Y45" s="1">
        <f ca="1">IF(AND('Input data (2)'!$C$2=4,$D28&gt;=0),OFFSET('Input data (2)'!Q$126,'Input data (2)'!$BL$1-$D28,0),IF(AND('Input data (2)'!$C$2=3,$C28&gt;=0),OFFSET('Input data (2)'!Q$126,'Input data (2)'!$BL$1-$C28,0),IF(AND('Input data (2)'!$C$2=2,$B28&gt;=0),OFFSET('Input data (2)'!Q$126,'Input data (2)'!$BL$1-$B28,0),IF(AND('Input data (2)'!$C$2=1,$A28&gt;=0),OFFSET('Input data (2)'!Q$126,'Input data (2)'!$BL$1-$A28,0),""))))</f>
        <v>20446</v>
      </c>
      <c r="Z45" s="1">
        <f ca="1">IF(AND('Input data (2)'!$C$2=4,$D28&gt;=0),OFFSET('Input data (2)'!S$126,'Input data (2)'!$BL$1-$D28,0),IF(AND('Input data (2)'!$C$2=3,$C28&gt;=0),OFFSET('Input data (2)'!S$126,'Input data (2)'!$BL$1-$C28,0),IF(AND('Input data (2)'!$C$2=2,$B28&gt;=0),OFFSET('Input data (2)'!S$126,'Input data (2)'!$BL$1-$B28,0),IF(AND('Input data (2)'!$C$2=1,$A28&gt;=0),OFFSET('Input data (2)'!S$126,'Input data (2)'!$BL$1-$A28,0),""))))</f>
        <v>17606</v>
      </c>
      <c r="AA45" s="1">
        <f ca="1">IF(AND('Input data (2)'!$C$2=4,$D28&gt;=0),OFFSET('Input data (2)'!T$126,'Input data (2)'!$BL$1-$D28,0),IF(AND('Input data (2)'!$C$2=3,$C28&gt;=0),OFFSET('Input data (2)'!T$126,'Input data (2)'!$BL$1-$C28,0),IF(AND('Input data (2)'!$C$2=2,$B28&gt;=0),OFFSET('Input data (2)'!T$126,'Input data (2)'!$BL$1-$B28,0),IF(AND('Input data (2)'!$C$2=1,$A28&gt;=0),OFFSET('Input data (2)'!T$126,'Input data (2)'!$BL$1-$A28,0),""))))</f>
        <v>86.109752518830078</v>
      </c>
      <c r="AB45" s="1">
        <f ca="1">IF(AND('Input data (2)'!$C$2=4,$D28&gt;=0),OFFSET('Input data (2)'!U$126,'Input data (2)'!$BL$1-$D28,0),IF(AND('Input data (2)'!$C$2=3,$C28&gt;=0),OFFSET('Input data (2)'!U$126,'Input data (2)'!$BL$1-$C28,0),IF(AND('Input data (2)'!$C$2=2,$B28&gt;=0),OFFSET('Input data (2)'!U$126,'Input data (2)'!$BL$1-$B28,0),IF(AND('Input data (2)'!$C$2=1,$A28&gt;=0),OFFSET('Input data (2)'!U$126,'Input data (2)'!$BL$1-$A28,0),""))))</f>
        <v>2840</v>
      </c>
      <c r="AC45" s="1">
        <f ca="1">IF(AND('Input data (2)'!$C$2=4,$D28&gt;=0),OFFSET('Input data (2)'!V$126,'Input data (2)'!$BL$1-$D28,0),IF(AND('Input data (2)'!$C$2=3,$C28&gt;=0),OFFSET('Input data (2)'!V$126,'Input data (2)'!$BL$1-$C28,0),IF(AND('Input data (2)'!$C$2=2,$B28&gt;=0),OFFSET('Input data (2)'!V$126,'Input data (2)'!$BL$1-$B28,0),IF(AND('Input data (2)'!$C$2=1,$A28&gt;=0),OFFSET('Input data (2)'!V$126,'Input data (2)'!$BL$1-$A28,0),""))))</f>
        <v>13.890247481169911</v>
      </c>
      <c r="AD45" s="1">
        <f ca="1">IF(AND('Input data (2)'!$C$2=4,$D28&gt;=0),OFFSET('Input data (2)'!Q$126,'Input data (2)'!$BL$1-$D28,0),IF(AND('Input data (2)'!$C$2=3,$C28&gt;=0),OFFSET('Input data (2)'!Q$126,'Input data (2)'!$BL$1-$C28,0),IF(AND('Input data (2)'!$C$2=2,$B28&gt;=0),OFFSET('Input data (2)'!Q$126,'Input data (2)'!$BL$1-$B28,0),IF(AND('Input data (2)'!$C$2=1,$A28&gt;=0),OFFSET('Input data (2)'!Q$126,'Input data (2)'!$BL$1-$A28,0),""))))</f>
        <v>20446</v>
      </c>
      <c r="AE45" s="1">
        <f ca="1">IF(AND('Input data (2)'!$C$2=4,$D28&gt;=0),OFFSET('Input data (2)'!W$126,'Input data (2)'!$BL$1-$D28,0),IF(AND('Input data (2)'!$C$2=3,$C28&gt;=0),OFFSET('Input data (2)'!W$126,'Input data (2)'!$BL$1-$C28,0),IF(AND('Input data (2)'!$C$2=2,$B28&gt;=0),OFFSET('Input data (2)'!W$126,'Input data (2)'!$BL$1-$B28,0),IF(AND('Input data (2)'!$C$2=1,$A28&gt;=0),OFFSET('Input data (2)'!W$126,'Input data (2)'!$BL$1-$A28,0),""))))</f>
        <v>2798</v>
      </c>
      <c r="AF45" s="1">
        <f ca="1">IF(AND('Input data (2)'!$C$2=4,$D28&gt;=0),OFFSET('Input data (2)'!X$126,'Input data (2)'!$BL$1-$D28,0),IF(AND('Input data (2)'!$C$2=3,$C28&gt;=0),OFFSET('Input data (2)'!X$126,'Input data (2)'!$BL$1-$C28,0),IF(AND('Input data (2)'!$C$2=2,$B28&gt;=0),OFFSET('Input data (2)'!X$126,'Input data (2)'!$BL$1-$B28,0),IF(AND('Input data (2)'!$C$2=1,$A28&gt;=0),OFFSET('Input data (2)'!X$126,'Input data (2)'!$BL$1-$A28,0),""))))</f>
        <v>13.684828328279369</v>
      </c>
      <c r="AG45" s="1">
        <f ca="1">IF(AND('Input data (2)'!$C$2=4,$D28&gt;=0),OFFSET('Input data (2)'!Y$126,'Input data (2)'!$BL$1-$D28,0),IF(AND('Input data (2)'!$C$2=3,$C28&gt;=0),OFFSET('Input data (2)'!Y$126,'Input data (2)'!$BL$1-$C28,0),IF(AND('Input data (2)'!$C$2=2,$B28&gt;=0),OFFSET('Input data (2)'!Y$126,'Input data (2)'!$BL$1-$B28,0),IF(AND('Input data (2)'!$C$2=1,$A28&gt;=0),OFFSET('Input data (2)'!Y$126,'Input data (2)'!$BL$1-$A28,0),""))))</f>
        <v>17648</v>
      </c>
      <c r="AH45" s="1">
        <f ca="1">IF(AND('Input data (2)'!$C$2=4,$D28&gt;=0),OFFSET('Input data (2)'!Z$126,'Input data (2)'!$BL$1-$D28,0),IF(AND('Input data (2)'!$C$2=3,$C28&gt;=0),OFFSET('Input data (2)'!Z$126,'Input data (2)'!$BL$1-$C28,0),IF(AND('Input data (2)'!$C$2=2,$B28&gt;=0),OFFSET('Input data (2)'!Z$126,'Input data (2)'!$BL$1-$B28,0),IF(AND('Input data (2)'!$C$2=1,$A28&gt;=0),OFFSET('Input data (2)'!Z$126,'Input data (2)'!$BL$1-$A28,0),""))))</f>
        <v>86.31517167172062</v>
      </c>
      <c r="AI45" s="3"/>
      <c r="AJ45" s="124">
        <f ca="1">IF(AND('Input data (2)'!$C$2=4,$D28&gt;=0),OFFSET('Input data (2)'!AF$126,'Input data (2)'!$BL$1-$D28,0),IF(AND('Input data (2)'!$C$2=3,$C28&gt;=0),OFFSET('Input data (2)'!AF$126,'Input data (2)'!$BL$1-$C28,0),IF(AND('Input data (2)'!$C$2=2,$B28&gt;=0),OFFSET('Input data (2)'!AF$126,'Input data (2)'!$BL$1-$B28,0),IF(AND('Input data (2)'!$C$2=1,$A28&gt;=0),OFFSET('Input data (2)'!AF$126,'Input data (2)'!$BL$1-$A28,0),""))))</f>
        <v>2351</v>
      </c>
      <c r="AK45" s="124">
        <f ca="1">IF(AND('Input data (2)'!$C$2=4,$D28&gt;=0),OFFSET('Input data (2)'!AD$126,'Input data (2)'!$BL$1-$D28,0),IF(AND('Input data (2)'!$C$2=3,$C28&gt;=0),OFFSET('Input data (2)'!AD$126,'Input data (2)'!$BL$1-$C28,0),IF(AND('Input data (2)'!$C$2=2,$B28&gt;=0),OFFSET('Input data (2)'!AD$126,'Input data (2)'!$BL$1-$B28,0),IF(AND('Input data (2)'!$C$2=1,$A28&gt;=0),OFFSET('Input data (2)'!AD$126,'Input data (2)'!$BL$1-$A28,0),""))))</f>
        <v>19</v>
      </c>
      <c r="AL45" s="124">
        <f ca="1">IF(AND('Input data (2)'!$C$2=4,$D28&gt;=0),OFFSET('Input data (2)'!AE$126,'Input data (2)'!$BL$1-$D28,0),IF(AND('Input data (2)'!$C$2=3,$C28&gt;=0),OFFSET('Input data (2)'!AE$126,'Input data (2)'!$BL$1-$C28,0),IF(AND('Input data (2)'!$C$2=2,$B28&gt;=0),OFFSET('Input data (2)'!AE$126,'Input data (2)'!$BL$1-$B28,0),IF(AND('Input data (2)'!$C$2=1,$A28&gt;=0),OFFSET('Input data (2)'!AE$126,'Input data (2)'!$BL$1-$A28,0),""))))</f>
        <v>2332</v>
      </c>
      <c r="AW45" s="1">
        <f ca="1">IF(AND('Input data (2)'!$C$2=4,$D28&gt;=0),OFFSET('Input data (2)'!L$126,'Input data (2)'!$BL$1-$D28,0),IF(AND('Input data (2)'!$C$2=3,$C28&gt;=0),OFFSET('Input data (2)'!L$126,'Input data (2)'!$BL$1-$C28,0),IF(AND('Input data (2)'!$C$2=2,$B28&gt;=0),OFFSET('Input data (2)'!L$126,'Input data (2)'!$BL$1-$B28,0),IF(AND('Input data (2)'!$C$2=1,$A28&gt;=0),OFFSET('Input data (2)'!L$126,'Input data (2)'!$BL$1-$A28,0),""))))</f>
        <v>316</v>
      </c>
      <c r="AX45" s="1">
        <f ca="1">IF(AND('Input data (2)'!$C$2=4,$D28&gt;=0),OFFSET('Input data (2)'!M$126,'Input data (2)'!$BL$1-$D28,0),IF(AND('Input data (2)'!$C$2=3,$C28&gt;=0),OFFSET('Input data (2)'!M$126,'Input data (2)'!$BL$1-$C28,0),IF(AND('Input data (2)'!$C$2=2,$B28&gt;=0),OFFSET('Input data (2)'!M$126,'Input data (2)'!$BL$1-$B28,0),IF(AND('Input data (2)'!$C$2=1,$A28&gt;=0),OFFSET('Input data (2)'!M$126,'Input data (2)'!$BL$1-$A28,0),""))))</f>
        <v>0</v>
      </c>
      <c r="AY45" s="1">
        <f ca="1">IF(AND('Input data (2)'!$C$2=4,$D28&gt;=0),OFFSET('Input data (2)'!N$126,'Input data (2)'!$BL$1-$D28,0),IF(AND('Input data (2)'!$C$2=3,$C28&gt;=0),OFFSET('Input data (2)'!N$126,'Input data (2)'!$BL$1-$C28,0),IF(AND('Input data (2)'!$C$2=2,$B28&gt;=0),OFFSET('Input data (2)'!N$126,'Input data (2)'!$BL$1-$B28,0),IF(AND('Input data (2)'!$C$2=1,$A28&gt;=0),OFFSET('Input data (2)'!N$126,'Input data (2)'!$BL$1-$A28,0),""))))</f>
        <v>1311</v>
      </c>
      <c r="AZ45" s="1">
        <f ca="1">IF(AND('Input data (2)'!$C$2=4,$D28&gt;=0),OFFSET('Input data (2)'!P$126,'Input data (2)'!$BL$1-$D28,0),IF(AND('Input data (2)'!$C$2=3,$C28&gt;=0),OFFSET('Input data (2)'!P$126,'Input data (2)'!$BL$1-$C28,0),IF(AND('Input data (2)'!$C$2=2,$B28&gt;=0),OFFSET('Input data (2)'!P$126,'Input data (2)'!$BL$1-$B28,0),IF(AND('Input data (2)'!$C$2=1,$A28&gt;=0),OFFSET('Input data (2)'!P$126,'Input data (2)'!$BL$1-$A28,0),""))))</f>
        <v>156</v>
      </c>
      <c r="BB45" s="1">
        <f ca="1">IF(AND('Input data (2)'!$C$2=4,$D28&gt;=0),OFFSET('Input data (2)'!BB$126,'Input data (2)'!$BL$1-$D28,0),IF(AND('Input data (2)'!$C$2=3,$C28&gt;=0),OFFSET('Input data (2)'!BB$126,'Input data (2)'!$BL$1-$C28,0),IF(AND('Input data (2)'!$C$2=2,$B28&gt;=0),OFFSET('Input data (2)'!BB$126,'Input data (2)'!$BL$1-$B28,0),IF(AND('Input data (2)'!$C$2=1,$A28&gt;=0),OFFSET('Input data (2)'!BB$126,'Input data (2)'!$BL$1-$A28,0),""))))</f>
        <v>5743</v>
      </c>
      <c r="BC45" s="1">
        <f ca="1">IF(AND('Input data (2)'!$C$2=4,$D28&gt;=0),OFFSET('Input data (2)'!AY$126,'Input data (2)'!$BL$1-$D28,0),IF(AND('Input data (2)'!$C$2=3,$C28&gt;=0),OFFSET('Input data (2)'!AY$126,'Input data (2)'!$BL$1-$C28,0),IF(AND('Input data (2)'!$C$2=2,$B28&gt;=0),OFFSET('Input data (2)'!AY$126,'Input data (2)'!$BL$1-$B28,0),IF(AND('Input data (2)'!$C$2=1,$A28&gt;=0),OFFSET('Input data (2)'!AY$126,'Input data (2)'!$BL$1-$A28,0),""))))</f>
        <v>3772</v>
      </c>
      <c r="BD45" s="1">
        <f ca="1">IF(AND('Input data (2)'!$C$2=4,$D28&gt;=0),OFFSET('Input data (2)'!AZ$126,'Input data (2)'!$BL$1-$D28,0),IF(AND('Input data (2)'!$C$2=3,$C28&gt;=0),OFFSET('Input data (2)'!AZ$126,'Input data (2)'!$BL$1-$C28,0),IF(AND('Input data (2)'!$C$2=2,$B28&gt;=0),OFFSET('Input data (2)'!AZ$126,'Input data (2)'!$BL$1-$B28,0),IF(AND('Input data (2)'!$C$2=1,$A28&gt;=0),OFFSET('Input data (2)'!AZ$126,'Input data (2)'!$BL$1-$A28,0),""))))</f>
        <v>2284</v>
      </c>
      <c r="BE45" s="1">
        <f ca="1">IF(AND('Input data (2)'!$C$2=4,$D28&gt;=0),OFFSET('Input data (2)'!BA$126,'Input data (2)'!$BL$1-$D28,0),IF(AND('Input data (2)'!$C$2=3,$C28&gt;=0),OFFSET('Input data (2)'!BA$126,'Input data (2)'!$BL$1-$C28,0),IF(AND('Input data (2)'!$C$2=2,$B28&gt;=0),OFFSET('Input data (2)'!BA$126,'Input data (2)'!$BL$1-$B28,0),IF(AND('Input data (2)'!$C$2=1,$A28&gt;=0),OFFSET('Input data (2)'!BA$126,'Input data (2)'!$BL$1-$A28,0),""))))</f>
        <v>1971</v>
      </c>
      <c r="BF45" s="1">
        <f ca="1">IF(AND('Input data (2)'!$C$2=4,$D28&gt;=0),OFFSET('Input data (2)'!AP$126,'Input data (2)'!$BL$1-$D28,0),IF(AND('Input data (2)'!$C$2=3,$C28&gt;=0),OFFSET('Input data (2)'!AP$126,'Input data (2)'!$BL$1-$C28,0),IF(AND('Input data (2)'!$C$2=2,$B28&gt;=0),OFFSET('Input data (2)'!AP$126,'Input data (2)'!$BL$1-$B28,0),IF(AND('Input data (2)'!$C$2=1,$A28&gt;=0),OFFSET('Input data (2)'!AP$126,'Input data (2)'!$BL$1-$A28,0),""))))</f>
        <v>161</v>
      </c>
      <c r="BG45" s="1">
        <f ca="1">IF(AND('Input data (2)'!$C$2=4,$D28&gt;=0),OFFSET('Input data (2)'!AN$126,'Input data (2)'!$BL$1-$D28,0),IF(AND('Input data (2)'!$C$2=3,$C28&gt;=0),OFFSET('Input data (2)'!AN$126,'Input data (2)'!$BL$1-$C28,0),IF(AND('Input data (2)'!$C$2=2,$B28&gt;=0),OFFSET('Input data (2)'!AN$126,'Input data (2)'!$BL$1-$B28,0),IF(AND('Input data (2)'!$C$2=1,$A28&gt;=0),OFFSET('Input data (2)'!AN$126,'Input data (2)'!$BL$1-$A28,0),""))))</f>
        <v>124</v>
      </c>
      <c r="BH45" s="1">
        <f ca="1">IF(AND('Input data (2)'!$C$2=4,$D28&gt;=0),OFFSET('Input data (2)'!AO$126,'Input data (2)'!$BL$1-$D28,0),IF(AND('Input data (2)'!$C$2=3,$C28&gt;=0),OFFSET('Input data (2)'!AO$126,'Input data (2)'!$BL$1-$C28,0),IF(AND('Input data (2)'!$C$2=2,$B28&gt;=0),OFFSET('Input data (2)'!AO$126,'Input data (2)'!$BL$1-$B28,0),IF(AND('Input data (2)'!$C$2=1,$A28&gt;=0),OFFSET('Input data (2)'!AO$126,'Input data (2)'!$BL$1-$A28,0),""))))</f>
        <v>37</v>
      </c>
      <c r="BJ45" s="1">
        <f ca="1">IF(AND('Input data (2)'!$C$2=4,$D28&gt;=0),OFFSET('Input data (2)'!AU$126,'Input data (2)'!$BL$1-$D28,0),IF(AND('Input data (2)'!$C$2=3,$C28&gt;=0),OFFSET('Input data (2)'!AU$126,'Input data (2)'!$BL$1-$C28,0),IF(AND('Input data (2)'!$C$2=2,$B28&gt;=0),OFFSET('Input data (2)'!AU$126,'Input data (2)'!$BL$1-$B28,0),IF(AND('Input data (2)'!$C$2=1,$A28&gt;=0),OFFSET('Input data (2)'!AU$126,'Input data (2)'!$BL$1-$A28,0),""))))</f>
        <v>9</v>
      </c>
      <c r="BK45" s="1">
        <f ca="1">IF(AND('Input data (2)'!$C$2=4,$D28&gt;=0),OFFSET('Input data (2)'!AV$126,'Input data (2)'!$BL$1-$D28,0),IF(AND('Input data (2)'!$C$2=3,$C28&gt;=0),OFFSET('Input data (2)'!AV$126,'Input data (2)'!$BL$1-$C28,0),IF(AND('Input data (2)'!$C$2=2,$B28&gt;=0),OFFSET('Input data (2)'!AV$126,'Input data (2)'!$BL$1-$B28,0),IF(AND('Input data (2)'!$C$2=1,$A28&gt;=0),OFFSET('Input data (2)'!AV$126,'Input data (2)'!$BL$1-$A28,0),""))))</f>
        <v>0</v>
      </c>
      <c r="BL45" s="1">
        <f ca="1">IF(AND('Input data (2)'!$C$2=4,$D28&gt;=0),OFFSET('Input data (2)'!AW$126,'Input data (2)'!$BL$1-$D28,0),IF(AND('Input data (2)'!$C$2=3,$C28&gt;=0),OFFSET('Input data (2)'!AW$126,'Input data (2)'!$BL$1-$C28,0),IF(AND('Input data (2)'!$C$2=2,$B28&gt;=0),OFFSET('Input data (2)'!AW$126,'Input data (2)'!$BL$1-$B28,0),IF(AND('Input data (2)'!$C$2=1,$A28&gt;=0),OFFSET('Input data (2)'!AW$126,'Input data (2)'!$BL$1-$A28,0),""))))</f>
        <v>67</v>
      </c>
      <c r="BM45" s="1">
        <f ca="1">IF(AND('Input data (2)'!$C$2=4,$D28&gt;=0),OFFSET('Input data (2)'!AX$126,'Input data (2)'!$BL$1-$D28,0),IF(AND('Input data (2)'!$C$2=3,$C28&gt;=0),OFFSET('Input data (2)'!AX$126,'Input data (2)'!$BL$1-$C28,0),IF(AND('Input data (2)'!$C$2=2,$B28&gt;=0),OFFSET('Input data (2)'!AX$126,'Input data (2)'!$BL$1-$B28,0),IF(AND('Input data (2)'!$C$2=1,$A28&gt;=0),OFFSET('Input data (2)'!AX$126,'Input data (2)'!$BL$1-$A28,0),""))))</f>
        <v>2</v>
      </c>
      <c r="BO45" s="1">
        <f ca="1">IF(AND('Input data (2)'!$C$2=4,$D28&gt;=0),OFFSET('Input data (2)'!BL$126,'Input data (2)'!$BL$1-$D28,0),IF(AND('Input data (2)'!$C$2=3,$C28&gt;=0),OFFSET('Input data (2)'!BL$126,'Input data (2)'!$BL$1-$C28,0),IF(AND('Input data (2)'!$C$2=2,$B28&gt;=0),OFFSET('Input data (2)'!BL$126,'Input data (2)'!$BL$1-$B28,0),IF(AND('Input data (2)'!$C$2=1,$A28&gt;=0),OFFSET('Input data (2)'!BL$126,'Input data (2)'!$BL$1-$A28,0),""))))</f>
        <v>446</v>
      </c>
      <c r="BP45" s="1">
        <f ca="1">IF(AND('Input data (2)'!$C$2=4,$D28&gt;=0),OFFSET('Input data (2)'!BI$126,'Input data (2)'!$BL$1-$D28,0),IF(AND('Input data (2)'!$C$2=3,$C28&gt;=0),OFFSET('Input data (2)'!BI$126,'Input data (2)'!$BL$1-$C28,0),IF(AND('Input data (2)'!$C$2=2,$B28&gt;=0),OFFSET('Input data (2)'!BI$126,'Input data (2)'!$BL$1-$B28,0),IF(AND('Input data (2)'!$C$2=1,$A28&gt;=0),OFFSET('Input data (2)'!BI$126,'Input data (2)'!$BL$1-$A28,0),""))))</f>
        <v>302</v>
      </c>
      <c r="BQ45" s="1" t="str">
        <f ca="1">IF(AND('Input data (2)'!$C$2=4,$D28&gt;=0),OFFSET('Input data (2)'!BK$126,'Input data (2)'!$BL$1-$D28,0),IF(AND('Input data (2)'!$C$2=3,$C28&gt;=0),OFFSET('Input data (2)'!BK$126,'Input data (2)'!$BL$1-$C28,0),IF(AND('Input data (2)'!$C$2=2,$B28&gt;=0),OFFSET('Input data (2)'!BK$126,'Input data (2)'!$BL$1-$B28,0),IF(AND('Input data (2)'!$C$2=1,$A28&gt;=0),OFFSET('Input data (2)'!BK$126,'Input data (2)'!$BL$1-$A28,0),""))))</f>
        <v>..</v>
      </c>
      <c r="BR45" s="1">
        <f ca="1">IF(AND('Input data (2)'!$C$2=4,$D28&gt;=0),OFFSET('Input data (2)'!BJ$126,'Input data (2)'!$BL$1-$D28,0),IF(AND('Input data (2)'!$C$2=3,$C28&gt;=0),OFFSET('Input data (2)'!BJ$126,'Input data (2)'!$BL$1-$C28,0),IF(AND('Input data (2)'!$C$2=2,$B28&gt;=0),OFFSET('Input data (2)'!BJ$126,'Input data (2)'!$BL$1-$B28,0),IF(AND('Input data (2)'!$C$2=1,$A28&gt;=0),OFFSET('Input data (2)'!BJ$126,'Input data (2)'!$BL$1-$A28,0),""))))</f>
        <v>144</v>
      </c>
      <c r="BS45" s="1">
        <f ca="1">IF(AND('Input data (2)'!$C$2=4,$D28&gt;=0),OFFSET('Input data (2)'!BF$126,'Input data (2)'!$BL$1-$D28,0),IF(AND('Input data (2)'!$C$2=3,$C28&gt;=0),OFFSET('Input data (2)'!BF$126,'Input data (2)'!$BL$1-$C28,0),IF(AND('Input data (2)'!$C$2=2,$B28&gt;=0),OFFSET('Input data (2)'!BF$126,'Input data (2)'!$BL$1-$B28,0),IF(AND('Input data (2)'!$C$2=1,$A28&gt;=0),OFFSET('Input data (2)'!BF$126,'Input data (2)'!$BL$1-$A28,0),""))))</f>
        <v>57</v>
      </c>
      <c r="BT45" s="1">
        <f ca="1">IF(AND('Input data (2)'!$C$2=4,$D28&gt;=0),OFFSET('Input data (2)'!BD$126,'Input data (2)'!$BL$1-$D28,0),IF(AND('Input data (2)'!$C$2=3,$C28&gt;=0),OFFSET('Input data (2)'!BD$126,'Input data (2)'!$BL$1-$C28,0),IF(AND('Input data (2)'!$C$2=2,$B28&gt;=0),OFFSET('Input data (2)'!BD$126,'Input data (2)'!$BL$1-$B28,0),IF(AND('Input data (2)'!$C$2=1,$A28&gt;=0),OFFSET('Input data (2)'!BD$126,'Input data (2)'!$BL$1-$A28,0),""))))</f>
        <v>34</v>
      </c>
      <c r="BU45" s="1">
        <f ca="1">IF(AND('Input data (2)'!$C$2=4,$D28&gt;=0),OFFSET('Input data (2)'!BE$126,'Input data (2)'!$BL$1-$D28,0),IF(AND('Input data (2)'!$C$2=3,$C28&gt;=0),OFFSET('Input data (2)'!BE$126,'Input data (2)'!$BL$1-$C28,0),IF(AND('Input data (2)'!$C$2=2,$B28&gt;=0),OFFSET('Input data (2)'!BE$126,'Input data (2)'!$BL$1-$B28,0),IF(AND('Input data (2)'!$C$2=1,$A28&gt;=0),OFFSET('Input data (2)'!BE$126,'Input data (2)'!$BL$1-$A28,0),""))))</f>
        <v>23</v>
      </c>
      <c r="BW45" s="7">
        <f ca="1">IF(AND('Input data (2)'!$C$2=4,$D28&gt;=0),OFFSET('Input data (2)'!J$126,'Input data (2)'!$BL$1-$D28,0),IF(AND('Input data (2)'!$C$2=3,$C28&gt;=0),OFFSET('Input data (2)'!J$126,'Input data (2)'!$BL$1-$C28,0),IF(AND('Input data (2)'!$C$2=2,$B28&gt;=0),OFFSET('Input data (2)'!J$126,'Input data (2)'!$BL$1-$B28,0),IF(AND('Input data (2)'!$C$2=1,$A28&gt;=0),OFFSET('Input data (2)'!J$126,'Input data (2)'!$BL$1-$A28,0),""))))</f>
        <v>0.81003676805459035</v>
      </c>
      <c r="BX45" s="7">
        <f ca="1">IF(AND('Input data (2)'!$C$2=4,$D28&gt;=0),OFFSET('Input data (2)'!K$126,'Input data (2)'!$BL$1-$D28,0),IF(AND('Input data (2)'!$C$2=3,$C28&gt;=0),OFFSET('Input data (2)'!K$126,'Input data (2)'!$BL$1-$C28,0),IF(AND('Input data (2)'!$C$2=2,$B28&gt;=0),OFFSET('Input data (2)'!K$126,'Input data (2)'!$BL$1-$B28,0),IF(AND('Input data (2)'!$C$2=1,$A28&gt;=0),OFFSET('Input data (2)'!K$126,'Input data (2)'!$BL$1-$A28,0),""))))</f>
        <v>0.71254207251716728</v>
      </c>
      <c r="BY45" s="7">
        <f ca="1">IF(AND('Input data (2)'!$C$2=4,$D28&gt;=0),OFFSET('Input data (2)'!AS$126,'Input data (2)'!$BL$1-$D28,0),IF(AND('Input data (2)'!$C$2=3,$C28&gt;=0),OFFSET('Input data (2)'!AS$126,'Input data (2)'!$BL$1-$C28,0),IF(AND('Input data (2)'!$C$2=2,$B28&gt;=0),OFFSET('Input data (2)'!AS$126,'Input data (2)'!$BL$1-$B28,0),IF(AND('Input data (2)'!$C$2=1,$A28&gt;=0),OFFSET('Input data (2)'!AS$126,'Input data (2)'!$BL$1-$A28,0),""))))</f>
        <v>0.4418443528110737</v>
      </c>
      <c r="BZ45" s="7">
        <f ca="1">IF(AND('Input data (2)'!$C$2=4,$D28&gt;=0),OFFSET('Input data (2)'!AT$126,'Input data (2)'!$BL$1-$D28,0),IF(AND('Input data (2)'!$C$2=3,$C28&gt;=0),OFFSET('Input data (2)'!AT$126,'Input data (2)'!$BL$1-$C28,0),IF(AND('Input data (2)'!$C$2=2,$B28&gt;=0),OFFSET('Input data (2)'!AT$126,'Input data (2)'!$BL$1-$B28,0),IF(AND('Input data (2)'!$C$2=1,$A28&gt;=0),OFFSET('Input data (2)'!AT$126,'Input data (2)'!$BL$1-$A28,0),""))))</f>
        <v>0.39943407796158448</v>
      </c>
      <c r="CB45" s="122"/>
      <c r="CC45" s="122"/>
      <c r="CD45" s="122"/>
      <c r="CE45" s="122"/>
      <c r="CK45" s="1"/>
      <c r="CL45" s="1"/>
      <c r="CM45" s="1"/>
      <c r="CN45" s="1"/>
      <c r="CO45" s="1"/>
      <c r="CP45" s="1"/>
      <c r="DJ45" s="1"/>
      <c r="DK45" s="1"/>
      <c r="DL45" s="1"/>
    </row>
    <row r="46" spans="1:131" x14ac:dyDescent="0.15">
      <c r="A46" s="1">
        <v>-2</v>
      </c>
      <c r="B46" s="1">
        <v>-1</v>
      </c>
      <c r="C46" s="1">
        <v>0</v>
      </c>
      <c r="D46" s="1">
        <v>-3</v>
      </c>
      <c r="E46" s="1" t="str">
        <f>F46&amp;G46</f>
        <v>2009Q2</v>
      </c>
      <c r="F46" s="1">
        <f>F41+1</f>
        <v>2009</v>
      </c>
      <c r="G46" s="1" t="s">
        <v>2</v>
      </c>
      <c r="H46" s="1">
        <f>VLOOKUP($E46,'Input data (2)'!$A:$BL,'Output data - DO NOT TOUCH (2)'!H$71,FALSE)</f>
        <v>5059</v>
      </c>
      <c r="I46" s="1">
        <f>VLOOKUP($E46,'Input data (2)'!$A:$BL,'Output data - DO NOT TOUCH (2)'!I$71,FALSE)</f>
        <v>1520</v>
      </c>
      <c r="J46" s="1">
        <f>VLOOKUP($E46,'Input data (2)'!$A:$BL,'Output data - DO NOT TOUCH (2)'!J$71,FALSE)</f>
        <v>3539</v>
      </c>
      <c r="K46" s="1">
        <f>VLOOKUP($E46,'Input data (2)'!$A:$BL,'Output data - DO NOT TOUCH (2)'!K$71,FALSE)</f>
        <v>5033</v>
      </c>
      <c r="L46" s="1">
        <f>VLOOKUP($E46,'Input data (2)'!$A:$BL,'Output data - DO NOT TOUCH (2)'!L$71,FALSE)</f>
        <v>1517</v>
      </c>
      <c r="M46" s="1">
        <f>VLOOKUP($E46,'Input data (2)'!$A:$BL,'Output data - DO NOT TOUCH (2)'!M$71,FALSE)</f>
        <v>3516</v>
      </c>
      <c r="O46" s="119">
        <f ca="1">IF(AND('Input data (2)'!$C$2=4,$D29&gt;=0),OFFSET('Input data (2)'!O$126,'Input data (2)'!$BL$1-$D29,0),IF(AND('Input data (2)'!$C$2=3,$C29&gt;=0),OFFSET('Input data (2)'!O$126,'Input data (2)'!$BL$1-$C29,0),IF(AND('Input data (2)'!$C$2=2,$B29&gt;=0),OFFSET('Input data (2)'!O$126,'Input data (2)'!$BL$1-$B29,0),IF(AND('Input data (2)'!$C$2=1,$A29&gt;=0),OFFSET('Input data (2)'!O$126,'Input data (2)'!$BL$1-$A29,0),""))))</f>
        <v>370</v>
      </c>
      <c r="Q46" s="1">
        <f ca="1">IF(AND('Input data (2)'!$C$2=4,$D29&gt;=0),OFFSET('Input data (2)'!AC$126,'Input data (2)'!$BL$1-$D29,0),IF(AND('Input data (2)'!$C$2=3,$C29&gt;=0),OFFSET('Input data (2)'!AC$126,'Input data (2)'!$BL$1-$C29,0),IF(AND('Input data (2)'!$C$2=2,$B29&gt;=0),OFFSET('Input data (2)'!AC$126,'Input data (2)'!$BL$1-$B29,0),IF(AND('Input data (2)'!$C$2=1,$A29&gt;=0),OFFSET('Input data (2)'!AC$126,'Input data (2)'!$BL$1-$A29,0),""))))</f>
        <v>33073</v>
      </c>
      <c r="R46" s="1">
        <f ca="1">IF(AND('Input data (2)'!$C$2=4,$D29&gt;=0),OFFSET('Input data (2)'!Q$126,'Input data (2)'!$BL$1-$D29,0),IF(AND('Input data (2)'!$C$2=3,$C29&gt;=0),OFFSET('Input data (2)'!Q$126,'Input data (2)'!$BL$1-$C29,0),IF(AND('Input data (2)'!$C$2=2,$B29&gt;=0),OFFSET('Input data (2)'!Q$126,'Input data (2)'!$BL$1-$B29,0),IF(AND('Input data (2)'!$C$2=1,$A29&gt;=0),OFFSET('Input data (2)'!Q$126,'Input data (2)'!$BL$1-$A29,0),""))))</f>
        <v>18870</v>
      </c>
      <c r="S46" s="1">
        <f ca="1">IF(AND('Input data (2)'!$C$2=4,$D29&gt;=0),OFFSET('Input data (2)'!R$126,'Input data (2)'!$BL$1-$D29,0),IF(AND('Input data (2)'!$C$2=3,$C29&gt;=0),OFFSET('Input data (2)'!R$126,'Input data (2)'!$BL$1-$C29,0),IF(AND('Input data (2)'!$C$2=2,$B29&gt;=0),OFFSET('Input data (2)'!R$126,'Input data (2)'!$BL$1-$B29,0),IF(AND('Input data (2)'!$C$2=1,$A29&gt;=0),OFFSET('Input data (2)'!R$126,'Input data (2)'!$BL$1-$A29,0),""))))</f>
        <v>1978</v>
      </c>
      <c r="T46" s="1">
        <f ca="1">IF(AND('Input data (2)'!$C$2=4,$D29&gt;=0),OFFSET('Input data (2)'!AA$126,'Input data (2)'!$BL$1-$D29,0),IF(AND('Input data (2)'!$C$2=3,$C29&gt;=0),OFFSET('Input data (2)'!AA$126,'Input data (2)'!$BL$1-$C29,0),IF(AND('Input data (2)'!$C$2=2,$B29&gt;=0),OFFSET('Input data (2)'!AA$126,'Input data (2)'!$BL$1-$B29,0),IF(AND('Input data (2)'!$C$2=1,$A29&gt;=0),OFFSET('Input data (2)'!AA$126,'Input data (2)'!$BL$1-$A29,0),""))))</f>
        <v>12225</v>
      </c>
      <c r="U46" s="1" t="str">
        <f ca="1">IF(AND('Input data (2)'!$C$2=4,$D29&gt;=0),OFFSET('Input data (2)'!AL$126,'Input data (2)'!$BL$1-$D29,0),IF(AND('Input data (2)'!$C$2=3,$C29&gt;=0),OFFSET('Input data (2)'!AL$126,'Input data (2)'!$BL$1-$C29,0),IF(AND('Input data (2)'!$C$2=2,$B29&gt;=0),OFFSET('Input data (2)'!AL$126,'Input data (2)'!$BL$1-$B29,0),IF(AND('Input data (2)'!$C$2=1,$A29&gt;=0),OFFSET('Input data (2)'!AL$126,'Input data (2)'!$BL$1-$A29,0),""))))</f>
        <v>:</v>
      </c>
      <c r="V46" s="1">
        <f ca="1">IF(AND('Input data (2)'!$C$2=4,$D29&gt;=0),OFFSET('Input data (2)'!AJ$126,'Input data (2)'!$BL$1-$D29,0),IF(AND('Input data (2)'!$C$2=3,$C29&gt;=0),OFFSET('Input data (2)'!AJ$126,'Input data (2)'!$BL$1-$C29,0),IF(AND('Input data (2)'!$C$2=2,$B29&gt;=0),OFFSET('Input data (2)'!AJ$126,'Input data (2)'!$BL$1-$B29,0),IF(AND('Input data (2)'!$C$2=1,$A29&gt;=0),OFFSET('Input data (2)'!AJ$126,'Input data (2)'!$BL$1-$A29,0),""))))</f>
        <v>19121</v>
      </c>
      <c r="W46" s="1">
        <f ca="1">IF(AND('Input data (2)'!$C$2=4,$D29&gt;=0),OFFSET('Input data (2)'!AK$126,'Input data (2)'!$BL$1-$D29,0),IF(AND('Input data (2)'!$C$2=3,$C29&gt;=0),OFFSET('Input data (2)'!AK$126,'Input data (2)'!$BL$1-$C29,0),IF(AND('Input data (2)'!$C$2=2,$B29&gt;=0),OFFSET('Input data (2)'!AK$126,'Input data (2)'!$BL$1-$B29,0),IF(AND('Input data (2)'!$C$2=1,$A29&gt;=0),OFFSET('Input data (2)'!AK$126,'Input data (2)'!$BL$1-$A29,0),""))))</f>
        <v>12033</v>
      </c>
      <c r="Y46" s="1">
        <f ca="1">IF(AND('Input data (2)'!$C$2=4,$D29&gt;=0),OFFSET('Input data (2)'!Q$126,'Input data (2)'!$BL$1-$D29,0),IF(AND('Input data (2)'!$C$2=3,$C29&gt;=0),OFFSET('Input data (2)'!Q$126,'Input data (2)'!$BL$1-$C29,0),IF(AND('Input data (2)'!$C$2=2,$B29&gt;=0),OFFSET('Input data (2)'!Q$126,'Input data (2)'!$BL$1-$B29,0),IF(AND('Input data (2)'!$C$2=1,$A29&gt;=0),OFFSET('Input data (2)'!Q$126,'Input data (2)'!$BL$1-$A29,0),""))))</f>
        <v>18870</v>
      </c>
      <c r="Z46" s="1">
        <f ca="1">IF(AND('Input data (2)'!$C$2=4,$D29&gt;=0),OFFSET('Input data (2)'!S$126,'Input data (2)'!$BL$1-$D29,0),IF(AND('Input data (2)'!$C$2=3,$C29&gt;=0),OFFSET('Input data (2)'!S$126,'Input data (2)'!$BL$1-$C29,0),IF(AND('Input data (2)'!$C$2=2,$B29&gt;=0),OFFSET('Input data (2)'!S$126,'Input data (2)'!$BL$1-$B29,0),IF(AND('Input data (2)'!$C$2=1,$A29&gt;=0),OFFSET('Input data (2)'!S$126,'Input data (2)'!$BL$1-$A29,0),""))))</f>
        <v>16265</v>
      </c>
      <c r="AA46" s="1">
        <f ca="1">IF(AND('Input data (2)'!$C$2=4,$D29&gt;=0),OFFSET('Input data (2)'!T$126,'Input data (2)'!$BL$1-$D29,0),IF(AND('Input data (2)'!$C$2=3,$C29&gt;=0),OFFSET('Input data (2)'!T$126,'Input data (2)'!$BL$1-$C29,0),IF(AND('Input data (2)'!$C$2=2,$B29&gt;=0),OFFSET('Input data (2)'!T$126,'Input data (2)'!$BL$1-$B29,0),IF(AND('Input data (2)'!$C$2=1,$A29&gt;=0),OFFSET('Input data (2)'!T$126,'Input data (2)'!$BL$1-$A29,0),""))))</f>
        <v>86.19501854795972</v>
      </c>
      <c r="AB46" s="1">
        <f ca="1">IF(AND('Input data (2)'!$C$2=4,$D29&gt;=0),OFFSET('Input data (2)'!U$126,'Input data (2)'!$BL$1-$D29,0),IF(AND('Input data (2)'!$C$2=3,$C29&gt;=0),OFFSET('Input data (2)'!U$126,'Input data (2)'!$BL$1-$C29,0),IF(AND('Input data (2)'!$C$2=2,$B29&gt;=0),OFFSET('Input data (2)'!U$126,'Input data (2)'!$BL$1-$B29,0),IF(AND('Input data (2)'!$C$2=1,$A29&gt;=0),OFFSET('Input data (2)'!U$126,'Input data (2)'!$BL$1-$A29,0),""))))</f>
        <v>2605</v>
      </c>
      <c r="AC46" s="1">
        <f ca="1">IF(AND('Input data (2)'!$C$2=4,$D29&gt;=0),OFFSET('Input data (2)'!V$126,'Input data (2)'!$BL$1-$D29,0),IF(AND('Input data (2)'!$C$2=3,$C29&gt;=0),OFFSET('Input data (2)'!V$126,'Input data (2)'!$BL$1-$C29,0),IF(AND('Input data (2)'!$C$2=2,$B29&gt;=0),OFFSET('Input data (2)'!V$126,'Input data (2)'!$BL$1-$B29,0),IF(AND('Input data (2)'!$C$2=1,$A29&gt;=0),OFFSET('Input data (2)'!V$126,'Input data (2)'!$BL$1-$A29,0),""))))</f>
        <v>13.804981452040277</v>
      </c>
      <c r="AD46" s="1">
        <f ca="1">IF(AND('Input data (2)'!$C$2=4,$D29&gt;=0),OFFSET('Input data (2)'!Q$126,'Input data (2)'!$BL$1-$D29,0),IF(AND('Input data (2)'!$C$2=3,$C29&gt;=0),OFFSET('Input data (2)'!Q$126,'Input data (2)'!$BL$1-$C29,0),IF(AND('Input data (2)'!$C$2=2,$B29&gt;=0),OFFSET('Input data (2)'!Q$126,'Input data (2)'!$BL$1-$B29,0),IF(AND('Input data (2)'!$C$2=1,$A29&gt;=0),OFFSET('Input data (2)'!Q$126,'Input data (2)'!$BL$1-$A29,0),""))))</f>
        <v>18870</v>
      </c>
      <c r="AE46" s="1">
        <f ca="1">IF(AND('Input data (2)'!$C$2=4,$D29&gt;=0),OFFSET('Input data (2)'!W$126,'Input data (2)'!$BL$1-$D29,0),IF(AND('Input data (2)'!$C$2=3,$C29&gt;=0),OFFSET('Input data (2)'!W$126,'Input data (2)'!$BL$1-$C29,0),IF(AND('Input data (2)'!$C$2=2,$B29&gt;=0),OFFSET('Input data (2)'!W$126,'Input data (2)'!$BL$1-$B29,0),IF(AND('Input data (2)'!$C$2=1,$A29&gt;=0),OFFSET('Input data (2)'!W$126,'Input data (2)'!$BL$1-$A29,0),""))))</f>
        <v>2470</v>
      </c>
      <c r="AF46" s="1">
        <f ca="1">IF(AND('Input data (2)'!$C$2=4,$D29&gt;=0),OFFSET('Input data (2)'!X$126,'Input data (2)'!$BL$1-$D29,0),IF(AND('Input data (2)'!$C$2=3,$C29&gt;=0),OFFSET('Input data (2)'!X$126,'Input data (2)'!$BL$1-$C29,0),IF(AND('Input data (2)'!$C$2=2,$B29&gt;=0),OFFSET('Input data (2)'!X$126,'Input data (2)'!$BL$1-$B29,0),IF(AND('Input data (2)'!$C$2=1,$A29&gt;=0),OFFSET('Input data (2)'!X$126,'Input data (2)'!$BL$1-$A29,0),""))))</f>
        <v>13.089560148383677</v>
      </c>
      <c r="AG46" s="1">
        <f ca="1">IF(AND('Input data (2)'!$C$2=4,$D29&gt;=0),OFFSET('Input data (2)'!Y$126,'Input data (2)'!$BL$1-$D29,0),IF(AND('Input data (2)'!$C$2=3,$C29&gt;=0),OFFSET('Input data (2)'!Y$126,'Input data (2)'!$BL$1-$C29,0),IF(AND('Input data (2)'!$C$2=2,$B29&gt;=0),OFFSET('Input data (2)'!Y$126,'Input data (2)'!$BL$1-$B29,0),IF(AND('Input data (2)'!$C$2=1,$A29&gt;=0),OFFSET('Input data (2)'!Y$126,'Input data (2)'!$BL$1-$A29,0),""))))</f>
        <v>16400</v>
      </c>
      <c r="AH46" s="1">
        <f ca="1">IF(AND('Input data (2)'!$C$2=4,$D29&gt;=0),OFFSET('Input data (2)'!Z$126,'Input data (2)'!$BL$1-$D29,0),IF(AND('Input data (2)'!$C$2=3,$C29&gt;=0),OFFSET('Input data (2)'!Z$126,'Input data (2)'!$BL$1-$C29,0),IF(AND('Input data (2)'!$C$2=2,$B29&gt;=0),OFFSET('Input data (2)'!Z$126,'Input data (2)'!$BL$1-$B29,0),IF(AND('Input data (2)'!$C$2=1,$A29&gt;=0),OFFSET('Input data (2)'!Z$126,'Input data (2)'!$BL$1-$A29,0),""))))</f>
        <v>86.910439851616317</v>
      </c>
      <c r="AI46" s="3"/>
      <c r="AJ46" s="124">
        <f ca="1">IF(AND('Input data (2)'!$C$2=4,$D29&gt;=0),OFFSET('Input data (2)'!AF$126,'Input data (2)'!$BL$1-$D29,0),IF(AND('Input data (2)'!$C$2=3,$C29&gt;=0),OFFSET('Input data (2)'!AF$126,'Input data (2)'!$BL$1-$C29,0),IF(AND('Input data (2)'!$C$2=2,$B29&gt;=0),OFFSET('Input data (2)'!AF$126,'Input data (2)'!$BL$1-$B29,0),IF(AND('Input data (2)'!$C$2=1,$A29&gt;=0),OFFSET('Input data (2)'!AF$126,'Input data (2)'!$BL$1-$A29,0),""))))</f>
        <v>3121</v>
      </c>
      <c r="AK46" s="124">
        <f ca="1">IF(AND('Input data (2)'!$C$2=4,$D29&gt;=0),OFFSET('Input data (2)'!AD$126,'Input data (2)'!$BL$1-$D29,0),IF(AND('Input data (2)'!$C$2=3,$C29&gt;=0),OFFSET('Input data (2)'!AD$126,'Input data (2)'!$BL$1-$C29,0),IF(AND('Input data (2)'!$C$2=2,$B29&gt;=0),OFFSET('Input data (2)'!AD$126,'Input data (2)'!$BL$1-$B29,0),IF(AND('Input data (2)'!$C$2=1,$A29&gt;=0),OFFSET('Input data (2)'!AD$126,'Input data (2)'!$BL$1-$A29,0),""))))</f>
        <v>13</v>
      </c>
      <c r="AL46" s="124">
        <f ca="1">IF(AND('Input data (2)'!$C$2=4,$D29&gt;=0),OFFSET('Input data (2)'!AE$126,'Input data (2)'!$BL$1-$D29,0),IF(AND('Input data (2)'!$C$2=3,$C29&gt;=0),OFFSET('Input data (2)'!AE$126,'Input data (2)'!$BL$1-$C29,0),IF(AND('Input data (2)'!$C$2=2,$B29&gt;=0),OFFSET('Input data (2)'!AE$126,'Input data (2)'!$BL$1-$B29,0),IF(AND('Input data (2)'!$C$2=1,$A29&gt;=0),OFFSET('Input data (2)'!AE$126,'Input data (2)'!$BL$1-$A29,0),""))))</f>
        <v>3108</v>
      </c>
      <c r="AW46" s="1">
        <f ca="1">IF(AND('Input data (2)'!$C$2=4,$D29&gt;=0),OFFSET('Input data (2)'!L$126,'Input data (2)'!$BL$1-$D29,0),IF(AND('Input data (2)'!$C$2=3,$C29&gt;=0),OFFSET('Input data (2)'!L$126,'Input data (2)'!$BL$1-$C29,0),IF(AND('Input data (2)'!$C$2=2,$B29&gt;=0),OFFSET('Input data (2)'!L$126,'Input data (2)'!$BL$1-$B29,0),IF(AND('Input data (2)'!$C$2=1,$A29&gt;=0),OFFSET('Input data (2)'!L$126,'Input data (2)'!$BL$1-$A29,0),""))))</f>
        <v>345</v>
      </c>
      <c r="AX46" s="1">
        <f ca="1">IF(AND('Input data (2)'!$C$2=4,$D29&gt;=0),OFFSET('Input data (2)'!M$126,'Input data (2)'!$BL$1-$D29,0),IF(AND('Input data (2)'!$C$2=3,$C29&gt;=0),OFFSET('Input data (2)'!M$126,'Input data (2)'!$BL$1-$C29,0),IF(AND('Input data (2)'!$C$2=2,$B29&gt;=0),OFFSET('Input data (2)'!M$126,'Input data (2)'!$BL$1-$B29,0),IF(AND('Input data (2)'!$C$2=1,$A29&gt;=0),OFFSET('Input data (2)'!M$126,'Input data (2)'!$BL$1-$A29,0),""))))</f>
        <v>0</v>
      </c>
      <c r="AY46" s="1">
        <f ca="1">IF(AND('Input data (2)'!$C$2=4,$D29&gt;=0),OFFSET('Input data (2)'!N$126,'Input data (2)'!$BL$1-$D29,0),IF(AND('Input data (2)'!$C$2=3,$C29&gt;=0),OFFSET('Input data (2)'!N$126,'Input data (2)'!$BL$1-$C29,0),IF(AND('Input data (2)'!$C$2=2,$B29&gt;=0),OFFSET('Input data (2)'!N$126,'Input data (2)'!$BL$1-$B29,0),IF(AND('Input data (2)'!$C$2=1,$A29&gt;=0),OFFSET('Input data (2)'!N$126,'Input data (2)'!$BL$1-$A29,0),""))))</f>
        <v>1027</v>
      </c>
      <c r="AZ46" s="1">
        <f ca="1">IF(AND('Input data (2)'!$C$2=4,$D29&gt;=0),OFFSET('Input data (2)'!P$126,'Input data (2)'!$BL$1-$D29,0),IF(AND('Input data (2)'!$C$2=3,$C29&gt;=0),OFFSET('Input data (2)'!P$126,'Input data (2)'!$BL$1-$C29,0),IF(AND('Input data (2)'!$C$2=2,$B29&gt;=0),OFFSET('Input data (2)'!P$126,'Input data (2)'!$BL$1-$B29,0),IF(AND('Input data (2)'!$C$2=1,$A29&gt;=0),OFFSET('Input data (2)'!P$126,'Input data (2)'!$BL$1-$A29,0),""))))</f>
        <v>157</v>
      </c>
      <c r="BB46" s="1">
        <f ca="1">IF(AND('Input data (2)'!$C$2=4,$D29&gt;=0),OFFSET('Input data (2)'!BB$126,'Input data (2)'!$BL$1-$D29,0),IF(AND('Input data (2)'!$C$2=3,$C29&gt;=0),OFFSET('Input data (2)'!BB$126,'Input data (2)'!$BL$1-$C29,0),IF(AND('Input data (2)'!$C$2=2,$B29&gt;=0),OFFSET('Input data (2)'!BB$126,'Input data (2)'!$BL$1-$B29,0),IF(AND('Input data (2)'!$C$2=1,$A29&gt;=0),OFFSET('Input data (2)'!BB$126,'Input data (2)'!$BL$1-$A29,0),""))))</f>
        <v>6328</v>
      </c>
      <c r="BC46" s="1">
        <f ca="1">IF(AND('Input data (2)'!$C$2=4,$D29&gt;=0),OFFSET('Input data (2)'!AY$126,'Input data (2)'!$BL$1-$D29,0),IF(AND('Input data (2)'!$C$2=3,$C29&gt;=0),OFFSET('Input data (2)'!AY$126,'Input data (2)'!$BL$1-$C29,0),IF(AND('Input data (2)'!$C$2=2,$B29&gt;=0),OFFSET('Input data (2)'!AY$126,'Input data (2)'!$BL$1-$B29,0),IF(AND('Input data (2)'!$C$2=1,$A29&gt;=0),OFFSET('Input data (2)'!AY$126,'Input data (2)'!$BL$1-$A29,0),""))))</f>
        <v>3764</v>
      </c>
      <c r="BD46" s="1">
        <f ca="1">IF(AND('Input data (2)'!$C$2=4,$D29&gt;=0),OFFSET('Input data (2)'!AZ$126,'Input data (2)'!$BL$1-$D29,0),IF(AND('Input data (2)'!$C$2=3,$C29&gt;=0),OFFSET('Input data (2)'!AZ$126,'Input data (2)'!$BL$1-$C29,0),IF(AND('Input data (2)'!$C$2=2,$B29&gt;=0),OFFSET('Input data (2)'!AZ$126,'Input data (2)'!$BL$1-$B29,0),IF(AND('Input data (2)'!$C$2=1,$A29&gt;=0),OFFSET('Input data (2)'!AZ$126,'Input data (2)'!$BL$1-$A29,0),""))))</f>
        <v>2394</v>
      </c>
      <c r="BE46" s="1">
        <f ca="1">IF(AND('Input data (2)'!$C$2=4,$D29&gt;=0),OFFSET('Input data (2)'!BA$126,'Input data (2)'!$BL$1-$D29,0),IF(AND('Input data (2)'!$C$2=3,$C29&gt;=0),OFFSET('Input data (2)'!BA$126,'Input data (2)'!$BL$1-$C29,0),IF(AND('Input data (2)'!$C$2=2,$B29&gt;=0),OFFSET('Input data (2)'!BA$126,'Input data (2)'!$BL$1-$B29,0),IF(AND('Input data (2)'!$C$2=1,$A29&gt;=0),OFFSET('Input data (2)'!BA$126,'Input data (2)'!$BL$1-$A29,0),""))))</f>
        <v>2564</v>
      </c>
      <c r="BF46" s="1">
        <f ca="1">IF(AND('Input data (2)'!$C$2=4,$D29&gt;=0),OFFSET('Input data (2)'!AP$126,'Input data (2)'!$BL$1-$D29,0),IF(AND('Input data (2)'!$C$2=3,$C29&gt;=0),OFFSET('Input data (2)'!AP$126,'Input data (2)'!$BL$1-$C29,0),IF(AND('Input data (2)'!$C$2=2,$B29&gt;=0),OFFSET('Input data (2)'!AP$126,'Input data (2)'!$BL$1-$B29,0),IF(AND('Input data (2)'!$C$2=1,$A29&gt;=0),OFFSET('Input data (2)'!AP$126,'Input data (2)'!$BL$1-$A29,0),""))))</f>
        <v>146</v>
      </c>
      <c r="BG46" s="1">
        <f ca="1">IF(AND('Input data (2)'!$C$2=4,$D29&gt;=0),OFFSET('Input data (2)'!AN$126,'Input data (2)'!$BL$1-$D29,0),IF(AND('Input data (2)'!$C$2=3,$C29&gt;=0),OFFSET('Input data (2)'!AN$126,'Input data (2)'!$BL$1-$C29,0),IF(AND('Input data (2)'!$C$2=2,$B29&gt;=0),OFFSET('Input data (2)'!AN$126,'Input data (2)'!$BL$1-$B29,0),IF(AND('Input data (2)'!$C$2=1,$A29&gt;=0),OFFSET('Input data (2)'!AN$126,'Input data (2)'!$BL$1-$A29,0),""))))</f>
        <v>107</v>
      </c>
      <c r="BH46" s="1">
        <f ca="1">IF(AND('Input data (2)'!$C$2=4,$D29&gt;=0),OFFSET('Input data (2)'!AO$126,'Input data (2)'!$BL$1-$D29,0),IF(AND('Input data (2)'!$C$2=3,$C29&gt;=0),OFFSET('Input data (2)'!AO$126,'Input data (2)'!$BL$1-$C29,0),IF(AND('Input data (2)'!$C$2=2,$B29&gt;=0),OFFSET('Input data (2)'!AO$126,'Input data (2)'!$BL$1-$B29,0),IF(AND('Input data (2)'!$C$2=1,$A29&gt;=0),OFFSET('Input data (2)'!AO$126,'Input data (2)'!$BL$1-$A29,0),""))))</f>
        <v>39</v>
      </c>
      <c r="BJ46" s="1">
        <f ca="1">IF(AND('Input data (2)'!$C$2=4,$D29&gt;=0),OFFSET('Input data (2)'!AU$126,'Input data (2)'!$BL$1-$D29,0),IF(AND('Input data (2)'!$C$2=3,$C29&gt;=0),OFFSET('Input data (2)'!AU$126,'Input data (2)'!$BL$1-$C29,0),IF(AND('Input data (2)'!$C$2=2,$B29&gt;=0),OFFSET('Input data (2)'!AU$126,'Input data (2)'!$BL$1-$B29,0),IF(AND('Input data (2)'!$C$2=1,$A29&gt;=0),OFFSET('Input data (2)'!AU$126,'Input data (2)'!$BL$1-$A29,0),""))))</f>
        <v>8</v>
      </c>
      <c r="BK46" s="1">
        <f ca="1">IF(AND('Input data (2)'!$C$2=4,$D29&gt;=0),OFFSET('Input data (2)'!AV$126,'Input data (2)'!$BL$1-$D29,0),IF(AND('Input data (2)'!$C$2=3,$C29&gt;=0),OFFSET('Input data (2)'!AV$126,'Input data (2)'!$BL$1-$C29,0),IF(AND('Input data (2)'!$C$2=2,$B29&gt;=0),OFFSET('Input data (2)'!AV$126,'Input data (2)'!$BL$1-$B29,0),IF(AND('Input data (2)'!$C$2=1,$A29&gt;=0),OFFSET('Input data (2)'!AV$126,'Input data (2)'!$BL$1-$A29,0),""))))</f>
        <v>0</v>
      </c>
      <c r="BL46" s="1">
        <f ca="1">IF(AND('Input data (2)'!$C$2=4,$D29&gt;=0),OFFSET('Input data (2)'!AW$126,'Input data (2)'!$BL$1-$D29,0),IF(AND('Input data (2)'!$C$2=3,$C29&gt;=0),OFFSET('Input data (2)'!AW$126,'Input data (2)'!$BL$1-$C29,0),IF(AND('Input data (2)'!$C$2=2,$B29&gt;=0),OFFSET('Input data (2)'!AW$126,'Input data (2)'!$BL$1-$B29,0),IF(AND('Input data (2)'!$C$2=1,$A29&gt;=0),OFFSET('Input data (2)'!AW$126,'Input data (2)'!$BL$1-$A29,0),""))))</f>
        <v>30</v>
      </c>
      <c r="BM46" s="1">
        <f ca="1">IF(AND('Input data (2)'!$C$2=4,$D29&gt;=0),OFFSET('Input data (2)'!AX$126,'Input data (2)'!$BL$1-$D29,0),IF(AND('Input data (2)'!$C$2=3,$C29&gt;=0),OFFSET('Input data (2)'!AX$126,'Input data (2)'!$BL$1-$C29,0),IF(AND('Input data (2)'!$C$2=2,$B29&gt;=0),OFFSET('Input data (2)'!AX$126,'Input data (2)'!$BL$1-$B29,0),IF(AND('Input data (2)'!$C$2=1,$A29&gt;=0),OFFSET('Input data (2)'!AX$126,'Input data (2)'!$BL$1-$A29,0),""))))</f>
        <v>2</v>
      </c>
      <c r="BO46" s="1">
        <f ca="1">IF(AND('Input data (2)'!$C$2=4,$D29&gt;=0),OFFSET('Input data (2)'!BL$126,'Input data (2)'!$BL$1-$D29,0),IF(AND('Input data (2)'!$C$2=3,$C29&gt;=0),OFFSET('Input data (2)'!BL$126,'Input data (2)'!$BL$1-$C29,0),IF(AND('Input data (2)'!$C$2=2,$B29&gt;=0),OFFSET('Input data (2)'!BL$126,'Input data (2)'!$BL$1-$B29,0),IF(AND('Input data (2)'!$C$2=1,$A29&gt;=0),OFFSET('Input data (2)'!BL$126,'Input data (2)'!$BL$1-$A29,0),""))))</f>
        <v>560</v>
      </c>
      <c r="BP46" s="1">
        <f ca="1">IF(AND('Input data (2)'!$C$2=4,$D29&gt;=0),OFFSET('Input data (2)'!BI$126,'Input data (2)'!$BL$1-$D29,0),IF(AND('Input data (2)'!$C$2=3,$C29&gt;=0),OFFSET('Input data (2)'!BI$126,'Input data (2)'!$BL$1-$C29,0),IF(AND('Input data (2)'!$C$2=2,$B29&gt;=0),OFFSET('Input data (2)'!BI$126,'Input data (2)'!$BL$1-$B29,0),IF(AND('Input data (2)'!$C$2=1,$A29&gt;=0),OFFSET('Input data (2)'!BI$126,'Input data (2)'!$BL$1-$A29,0),""))))</f>
        <v>355</v>
      </c>
      <c r="BQ46" s="1" t="str">
        <f ca="1">IF(AND('Input data (2)'!$C$2=4,$D29&gt;=0),OFFSET('Input data (2)'!BK$126,'Input data (2)'!$BL$1-$D29,0),IF(AND('Input data (2)'!$C$2=3,$C29&gt;=0),OFFSET('Input data (2)'!BK$126,'Input data (2)'!$BL$1-$C29,0),IF(AND('Input data (2)'!$C$2=2,$B29&gt;=0),OFFSET('Input data (2)'!BK$126,'Input data (2)'!$BL$1-$B29,0),IF(AND('Input data (2)'!$C$2=1,$A29&gt;=0),OFFSET('Input data (2)'!BK$126,'Input data (2)'!$BL$1-$A29,0),""))))</f>
        <v>..</v>
      </c>
      <c r="BR46" s="1">
        <f ca="1">IF(AND('Input data (2)'!$C$2=4,$D29&gt;=0),OFFSET('Input data (2)'!BJ$126,'Input data (2)'!$BL$1-$D29,0),IF(AND('Input data (2)'!$C$2=3,$C29&gt;=0),OFFSET('Input data (2)'!BJ$126,'Input data (2)'!$BL$1-$C29,0),IF(AND('Input data (2)'!$C$2=2,$B29&gt;=0),OFFSET('Input data (2)'!BJ$126,'Input data (2)'!$BL$1-$B29,0),IF(AND('Input data (2)'!$C$2=1,$A29&gt;=0),OFFSET('Input data (2)'!BJ$126,'Input data (2)'!$BL$1-$A29,0),""))))</f>
        <v>205</v>
      </c>
      <c r="BS46" s="1">
        <f ca="1">IF(AND('Input data (2)'!$C$2=4,$D29&gt;=0),OFFSET('Input data (2)'!BF$126,'Input data (2)'!$BL$1-$D29,0),IF(AND('Input data (2)'!$C$2=3,$C29&gt;=0),OFFSET('Input data (2)'!BF$126,'Input data (2)'!$BL$1-$C29,0),IF(AND('Input data (2)'!$C$2=2,$B29&gt;=0),OFFSET('Input data (2)'!BF$126,'Input data (2)'!$BL$1-$B29,0),IF(AND('Input data (2)'!$C$2=1,$A29&gt;=0),OFFSET('Input data (2)'!BF$126,'Input data (2)'!$BL$1-$A29,0),""))))</f>
        <v>65</v>
      </c>
      <c r="BT46" s="1">
        <f ca="1">IF(AND('Input data (2)'!$C$2=4,$D29&gt;=0),OFFSET('Input data (2)'!BD$126,'Input data (2)'!$BL$1-$D29,0),IF(AND('Input data (2)'!$C$2=3,$C29&gt;=0),OFFSET('Input data (2)'!BD$126,'Input data (2)'!$BL$1-$C29,0),IF(AND('Input data (2)'!$C$2=2,$B29&gt;=0),OFFSET('Input data (2)'!BD$126,'Input data (2)'!$BL$1-$B29,0),IF(AND('Input data (2)'!$C$2=1,$A29&gt;=0),OFFSET('Input data (2)'!BD$126,'Input data (2)'!$BL$1-$A29,0),""))))</f>
        <v>46</v>
      </c>
      <c r="BU46" s="1">
        <f ca="1">IF(AND('Input data (2)'!$C$2=4,$D29&gt;=0),OFFSET('Input data (2)'!BE$126,'Input data (2)'!$BL$1-$D29,0),IF(AND('Input data (2)'!$C$2=3,$C29&gt;=0),OFFSET('Input data (2)'!BE$126,'Input data (2)'!$BL$1-$C29,0),IF(AND('Input data (2)'!$C$2=2,$B29&gt;=0),OFFSET('Input data (2)'!BE$126,'Input data (2)'!$BL$1-$B29,0),IF(AND('Input data (2)'!$C$2=1,$A29&gt;=0),OFFSET('Input data (2)'!BE$126,'Input data (2)'!$BL$1-$A29,0),""))))</f>
        <v>19</v>
      </c>
      <c r="BW46" s="7">
        <f ca="1">IF(AND('Input data (2)'!$C$2=4,$D29&gt;=0),OFFSET('Input data (2)'!J$126,'Input data (2)'!$BL$1-$D29,0),IF(AND('Input data (2)'!$C$2=3,$C29&gt;=0),OFFSET('Input data (2)'!J$126,'Input data (2)'!$BL$1-$C29,0),IF(AND('Input data (2)'!$C$2=2,$B29&gt;=0),OFFSET('Input data (2)'!J$126,'Input data (2)'!$BL$1-$B29,0),IF(AND('Input data (2)'!$C$2=1,$A29&gt;=0),OFFSET('Input data (2)'!J$126,'Input data (2)'!$BL$1-$A29,0),""))))</f>
        <v>0.89413077474388492</v>
      </c>
      <c r="BX46" s="7">
        <f ca="1">IF(AND('Input data (2)'!$C$2=4,$D29&gt;=0),OFFSET('Input data (2)'!K$126,'Input data (2)'!$BL$1-$D29,0),IF(AND('Input data (2)'!$C$2=3,$C29&gt;=0),OFFSET('Input data (2)'!K$126,'Input data (2)'!$BL$1-$C29,0),IF(AND('Input data (2)'!$C$2=2,$B29&gt;=0),OFFSET('Input data (2)'!K$126,'Input data (2)'!$BL$1-$B29,0),IF(AND('Input data (2)'!$C$2=1,$A29&gt;=0),OFFSET('Input data (2)'!K$126,'Input data (2)'!$BL$1-$A29,0),""))))</f>
        <v>0.77533856573693305</v>
      </c>
      <c r="BY46" s="7">
        <f ca="1">IF(AND('Input data (2)'!$C$2=4,$D29&gt;=0),OFFSET('Input data (2)'!AS$126,'Input data (2)'!$BL$1-$D29,0),IF(AND('Input data (2)'!$C$2=3,$C29&gt;=0),OFFSET('Input data (2)'!AS$126,'Input data (2)'!$BL$1-$C29,0),IF(AND('Input data (2)'!$C$2=2,$B29&gt;=0),OFFSET('Input data (2)'!AS$126,'Input data (2)'!$BL$1-$B29,0),IF(AND('Input data (2)'!$C$2=1,$A29&gt;=0),OFFSET('Input data (2)'!AS$126,'Input data (2)'!$BL$1-$A29,0),""))))</f>
        <v>0.45284163816916456</v>
      </c>
      <c r="BZ46" s="7">
        <f ca="1">IF(AND('Input data (2)'!$C$2=4,$D29&gt;=0),OFFSET('Input data (2)'!AT$126,'Input data (2)'!$BL$1-$D29,0),IF(AND('Input data (2)'!$C$2=3,$C29&gt;=0),OFFSET('Input data (2)'!AT$126,'Input data (2)'!$BL$1-$C29,0),IF(AND('Input data (2)'!$C$2=2,$B29&gt;=0),OFFSET('Input data (2)'!AT$126,'Input data (2)'!$BL$1-$B29,0),IF(AND('Input data (2)'!$C$2=1,$A29&gt;=0),OFFSET('Input data (2)'!AT$126,'Input data (2)'!$BL$1-$A29,0),""))))</f>
        <v>0.40726736898116639</v>
      </c>
      <c r="CB46" s="122"/>
      <c r="CC46" s="122"/>
      <c r="CD46" s="122"/>
      <c r="CE46" s="122"/>
      <c r="CK46" s="1"/>
      <c r="CL46" s="1"/>
      <c r="CM46" s="1"/>
      <c r="CN46" s="1"/>
      <c r="CO46" s="1"/>
      <c r="CP46" s="1"/>
    </row>
    <row r="47" spans="1:131" x14ac:dyDescent="0.15">
      <c r="E47" s="1" t="str">
        <f>F47&amp;G47</f>
        <v>2009Q3</v>
      </c>
      <c r="F47" s="1">
        <f>F42+1</f>
        <v>2009</v>
      </c>
      <c r="G47" s="1" t="s">
        <v>3</v>
      </c>
      <c r="H47" s="1">
        <f>VLOOKUP($E47,'Input data (2)'!$A:$BL,'Output data - DO NOT TOUCH (2)'!H$71,FALSE)</f>
        <v>4536</v>
      </c>
      <c r="I47" s="1">
        <f>VLOOKUP($E47,'Input data (2)'!$A:$BL,'Output data - DO NOT TOUCH (2)'!I$71,FALSE)</f>
        <v>1253</v>
      </c>
      <c r="J47" s="1">
        <f>VLOOKUP($E47,'Input data (2)'!$A:$BL,'Output data - DO NOT TOUCH (2)'!J$71,FALSE)</f>
        <v>3283</v>
      </c>
      <c r="K47" s="1">
        <f>VLOOKUP($E47,'Input data (2)'!$A:$BL,'Output data - DO NOT TOUCH (2)'!K$71,FALSE)</f>
        <v>4641</v>
      </c>
      <c r="L47" s="1">
        <f>VLOOKUP($E47,'Input data (2)'!$A:$BL,'Output data - DO NOT TOUCH (2)'!L$71,FALSE)</f>
        <v>1305</v>
      </c>
      <c r="M47" s="1">
        <f>VLOOKUP($E47,'Input data (2)'!$A:$BL,'Output data - DO NOT TOUCH (2)'!M$71,FALSE)</f>
        <v>3336</v>
      </c>
      <c r="O47" s="119">
        <f ca="1">IF(AND('Input data (2)'!$C$2=4,$D30&gt;=0),OFFSET('Input data (2)'!O$126,'Input data (2)'!$BL$1-$D30,0),IF(AND('Input data (2)'!$C$2=3,$C30&gt;=0),OFFSET('Input data (2)'!O$126,'Input data (2)'!$BL$1-$C30,0),IF(AND('Input data (2)'!$C$2=2,$B30&gt;=0),OFFSET('Input data (2)'!O$126,'Input data (2)'!$BL$1-$B30,0),IF(AND('Input data (2)'!$C$2=1,$A30&gt;=0),OFFSET('Input data (2)'!O$126,'Input data (2)'!$BL$1-$A30,0),""))))</f>
        <v>355</v>
      </c>
      <c r="Q47" s="1">
        <f ca="1">IF(AND('Input data (2)'!$C$2=4,$D30&gt;=0),OFFSET('Input data (2)'!AC$126,'Input data (2)'!$BL$1-$D30,0),IF(AND('Input data (2)'!$C$2=3,$C30&gt;=0),OFFSET('Input data (2)'!AC$126,'Input data (2)'!$BL$1-$C30,0),IF(AND('Input data (2)'!$C$2=2,$B30&gt;=0),OFFSET('Input data (2)'!AC$126,'Input data (2)'!$BL$1-$B30,0),IF(AND('Input data (2)'!$C$2=1,$A30&gt;=0),OFFSET('Input data (2)'!AC$126,'Input data (2)'!$BL$1-$A30,0),""))))</f>
        <v>35242</v>
      </c>
      <c r="R47" s="1">
        <f ca="1">IF(AND('Input data (2)'!$C$2=4,$D30&gt;=0),OFFSET('Input data (2)'!Q$126,'Input data (2)'!$BL$1-$D30,0),IF(AND('Input data (2)'!$C$2=3,$C30&gt;=0),OFFSET('Input data (2)'!Q$126,'Input data (2)'!$BL$1-$C30,0),IF(AND('Input data (2)'!$C$2=2,$B30&gt;=0),OFFSET('Input data (2)'!Q$126,'Input data (2)'!$BL$1-$B30,0),IF(AND('Input data (2)'!$C$2=1,$A30&gt;=0),OFFSET('Input data (2)'!Q$126,'Input data (2)'!$BL$1-$A30,0),""))))</f>
        <v>18347</v>
      </c>
      <c r="S47" s="1">
        <f ca="1">IF(AND('Input data (2)'!$C$2=4,$D30&gt;=0),OFFSET('Input data (2)'!R$126,'Input data (2)'!$BL$1-$D30,0),IF(AND('Input data (2)'!$C$2=3,$C30&gt;=0),OFFSET('Input data (2)'!R$126,'Input data (2)'!$BL$1-$C30,0),IF(AND('Input data (2)'!$C$2=2,$B30&gt;=0),OFFSET('Input data (2)'!R$126,'Input data (2)'!$BL$1-$B30,0),IF(AND('Input data (2)'!$C$2=1,$A30&gt;=0),OFFSET('Input data (2)'!R$126,'Input data (2)'!$BL$1-$A30,0),""))))</f>
        <v>4505</v>
      </c>
      <c r="T47" s="1">
        <f ca="1">IF(AND('Input data (2)'!$C$2=4,$D30&gt;=0),OFFSET('Input data (2)'!AA$126,'Input data (2)'!$BL$1-$D30,0),IF(AND('Input data (2)'!$C$2=3,$C30&gt;=0),OFFSET('Input data (2)'!AA$126,'Input data (2)'!$BL$1-$C30,0),IF(AND('Input data (2)'!$C$2=2,$B30&gt;=0),OFFSET('Input data (2)'!AA$126,'Input data (2)'!$BL$1-$B30,0),IF(AND('Input data (2)'!$C$2=1,$A30&gt;=0),OFFSET('Input data (2)'!AA$126,'Input data (2)'!$BL$1-$A30,0),""))))</f>
        <v>12390</v>
      </c>
      <c r="U47" s="1" t="str">
        <f ca="1">IF(AND('Input data (2)'!$C$2=4,$D30&gt;=0),OFFSET('Input data (2)'!AL$126,'Input data (2)'!$BL$1-$D30,0),IF(AND('Input data (2)'!$C$2=3,$C30&gt;=0),OFFSET('Input data (2)'!AL$126,'Input data (2)'!$BL$1-$C30,0),IF(AND('Input data (2)'!$C$2=2,$B30&gt;=0),OFFSET('Input data (2)'!AL$126,'Input data (2)'!$BL$1-$B30,0),IF(AND('Input data (2)'!$C$2=1,$A30&gt;=0),OFFSET('Input data (2)'!AL$126,'Input data (2)'!$BL$1-$A30,0),""))))</f>
        <v>:</v>
      </c>
      <c r="V47" s="1">
        <f ca="1">IF(AND('Input data (2)'!$C$2=4,$D30&gt;=0),OFFSET('Input data (2)'!AJ$126,'Input data (2)'!$BL$1-$D30,0),IF(AND('Input data (2)'!$C$2=3,$C30&gt;=0),OFFSET('Input data (2)'!AJ$126,'Input data (2)'!$BL$1-$C30,0),IF(AND('Input data (2)'!$C$2=2,$B30&gt;=0),OFFSET('Input data (2)'!AJ$126,'Input data (2)'!$BL$1-$B30,0),IF(AND('Input data (2)'!$C$2=1,$A30&gt;=0),OFFSET('Input data (2)'!AJ$126,'Input data (2)'!$BL$1-$A30,0),""))))</f>
        <v>18659</v>
      </c>
      <c r="W47" s="1">
        <f ca="1">IF(AND('Input data (2)'!$C$2=4,$D30&gt;=0),OFFSET('Input data (2)'!AK$126,'Input data (2)'!$BL$1-$D30,0),IF(AND('Input data (2)'!$C$2=3,$C30&gt;=0),OFFSET('Input data (2)'!AK$126,'Input data (2)'!$BL$1-$C30,0),IF(AND('Input data (2)'!$C$2=2,$B30&gt;=0),OFFSET('Input data (2)'!AK$126,'Input data (2)'!$BL$1-$B30,0),IF(AND('Input data (2)'!$C$2=1,$A30&gt;=0),OFFSET('Input data (2)'!AK$126,'Input data (2)'!$BL$1-$A30,0),""))))</f>
        <v>11868</v>
      </c>
      <c r="Y47" s="1">
        <f ca="1">IF(AND('Input data (2)'!$C$2=4,$D30&gt;=0),OFFSET('Input data (2)'!Q$126,'Input data (2)'!$BL$1-$D30,0),IF(AND('Input data (2)'!$C$2=3,$C30&gt;=0),OFFSET('Input data (2)'!Q$126,'Input data (2)'!$BL$1-$C30,0),IF(AND('Input data (2)'!$C$2=2,$B30&gt;=0),OFFSET('Input data (2)'!Q$126,'Input data (2)'!$BL$1-$B30,0),IF(AND('Input data (2)'!$C$2=1,$A30&gt;=0),OFFSET('Input data (2)'!Q$126,'Input data (2)'!$BL$1-$A30,0),""))))</f>
        <v>18347</v>
      </c>
      <c r="Z47" s="1">
        <f ca="1">IF(AND('Input data (2)'!$C$2=4,$D30&gt;=0),OFFSET('Input data (2)'!S$126,'Input data (2)'!$BL$1-$D30,0),IF(AND('Input data (2)'!$C$2=3,$C30&gt;=0),OFFSET('Input data (2)'!S$126,'Input data (2)'!$BL$1-$C30,0),IF(AND('Input data (2)'!$C$2=2,$B30&gt;=0),OFFSET('Input data (2)'!S$126,'Input data (2)'!$BL$1-$B30,0),IF(AND('Input data (2)'!$C$2=1,$A30&gt;=0),OFFSET('Input data (2)'!S$126,'Input data (2)'!$BL$1-$A30,0),""))))</f>
        <v>15616</v>
      </c>
      <c r="AA47" s="1">
        <f ca="1">IF(AND('Input data (2)'!$C$2=4,$D30&gt;=0),OFFSET('Input data (2)'!T$126,'Input data (2)'!$BL$1-$D30,0),IF(AND('Input data (2)'!$C$2=3,$C30&gt;=0),OFFSET('Input data (2)'!T$126,'Input data (2)'!$BL$1-$C30,0),IF(AND('Input data (2)'!$C$2=2,$B30&gt;=0),OFFSET('Input data (2)'!T$126,'Input data (2)'!$BL$1-$B30,0),IF(AND('Input data (2)'!$C$2=1,$A30&gt;=0),OFFSET('Input data (2)'!T$126,'Input data (2)'!$BL$1-$A30,0),""))))</f>
        <v>85.114732653839866</v>
      </c>
      <c r="AB47" s="1">
        <f ca="1">IF(AND('Input data (2)'!$C$2=4,$D30&gt;=0),OFFSET('Input data (2)'!U$126,'Input data (2)'!$BL$1-$D30,0),IF(AND('Input data (2)'!$C$2=3,$C30&gt;=0),OFFSET('Input data (2)'!U$126,'Input data (2)'!$BL$1-$C30,0),IF(AND('Input data (2)'!$C$2=2,$B30&gt;=0),OFFSET('Input data (2)'!U$126,'Input data (2)'!$BL$1-$B30,0),IF(AND('Input data (2)'!$C$2=1,$A30&gt;=0),OFFSET('Input data (2)'!U$126,'Input data (2)'!$BL$1-$A30,0),""))))</f>
        <v>2731</v>
      </c>
      <c r="AC47" s="1">
        <f ca="1">IF(AND('Input data (2)'!$C$2=4,$D30&gt;=0),OFFSET('Input data (2)'!V$126,'Input data (2)'!$BL$1-$D30,0),IF(AND('Input data (2)'!$C$2=3,$C30&gt;=0),OFFSET('Input data (2)'!V$126,'Input data (2)'!$BL$1-$C30,0),IF(AND('Input data (2)'!$C$2=2,$B30&gt;=0),OFFSET('Input data (2)'!V$126,'Input data (2)'!$BL$1-$B30,0),IF(AND('Input data (2)'!$C$2=1,$A30&gt;=0),OFFSET('Input data (2)'!V$126,'Input data (2)'!$BL$1-$A30,0),""))))</f>
        <v>14.885267346160136</v>
      </c>
      <c r="AD47" s="1">
        <f ca="1">IF(AND('Input data (2)'!$C$2=4,$D30&gt;=0),OFFSET('Input data (2)'!Q$126,'Input data (2)'!$BL$1-$D30,0),IF(AND('Input data (2)'!$C$2=3,$C30&gt;=0),OFFSET('Input data (2)'!Q$126,'Input data (2)'!$BL$1-$C30,0),IF(AND('Input data (2)'!$C$2=2,$B30&gt;=0),OFFSET('Input data (2)'!Q$126,'Input data (2)'!$BL$1-$B30,0),IF(AND('Input data (2)'!$C$2=1,$A30&gt;=0),OFFSET('Input data (2)'!Q$126,'Input data (2)'!$BL$1-$A30,0),""))))</f>
        <v>18347</v>
      </c>
      <c r="AE47" s="1">
        <f ca="1">IF(AND('Input data (2)'!$C$2=4,$D30&gt;=0),OFFSET('Input data (2)'!W$126,'Input data (2)'!$BL$1-$D30,0),IF(AND('Input data (2)'!$C$2=3,$C30&gt;=0),OFFSET('Input data (2)'!W$126,'Input data (2)'!$BL$1-$C30,0),IF(AND('Input data (2)'!$C$2=2,$B30&gt;=0),OFFSET('Input data (2)'!W$126,'Input data (2)'!$BL$1-$B30,0),IF(AND('Input data (2)'!$C$2=1,$A30&gt;=0),OFFSET('Input data (2)'!W$126,'Input data (2)'!$BL$1-$A30,0),""))))</f>
        <v>2280</v>
      </c>
      <c r="AF47" s="1">
        <f ca="1">IF(AND('Input data (2)'!$C$2=4,$D30&gt;=0),OFFSET('Input data (2)'!X$126,'Input data (2)'!$BL$1-$D30,0),IF(AND('Input data (2)'!$C$2=3,$C30&gt;=0),OFFSET('Input data (2)'!X$126,'Input data (2)'!$BL$1-$C30,0),IF(AND('Input data (2)'!$C$2=2,$B30&gt;=0),OFFSET('Input data (2)'!X$126,'Input data (2)'!$BL$1-$B30,0),IF(AND('Input data (2)'!$C$2=1,$A30&gt;=0),OFFSET('Input data (2)'!X$126,'Input data (2)'!$BL$1-$A30,0),""))))</f>
        <v>12.427099798332153</v>
      </c>
      <c r="AG47" s="1">
        <f ca="1">IF(AND('Input data (2)'!$C$2=4,$D30&gt;=0),OFFSET('Input data (2)'!Y$126,'Input data (2)'!$BL$1-$D30,0),IF(AND('Input data (2)'!$C$2=3,$C30&gt;=0),OFFSET('Input data (2)'!Y$126,'Input data (2)'!$BL$1-$C30,0),IF(AND('Input data (2)'!$C$2=2,$B30&gt;=0),OFFSET('Input data (2)'!Y$126,'Input data (2)'!$BL$1-$B30,0),IF(AND('Input data (2)'!$C$2=1,$A30&gt;=0),OFFSET('Input data (2)'!Y$126,'Input data (2)'!$BL$1-$A30,0),""))))</f>
        <v>16067</v>
      </c>
      <c r="AH47" s="1">
        <f ca="1">IF(AND('Input data (2)'!$C$2=4,$D30&gt;=0),OFFSET('Input data (2)'!Z$126,'Input data (2)'!$BL$1-$D30,0),IF(AND('Input data (2)'!$C$2=3,$C30&gt;=0),OFFSET('Input data (2)'!Z$126,'Input data (2)'!$BL$1-$C30,0),IF(AND('Input data (2)'!$C$2=2,$B30&gt;=0),OFFSET('Input data (2)'!Z$126,'Input data (2)'!$BL$1-$B30,0),IF(AND('Input data (2)'!$C$2=1,$A30&gt;=0),OFFSET('Input data (2)'!Z$126,'Input data (2)'!$BL$1-$A30,0),""))))</f>
        <v>87.572900201667849</v>
      </c>
      <c r="AI47" s="3"/>
      <c r="AJ47" s="124">
        <f ca="1">IF(AND('Input data (2)'!$C$2=4,$D30&gt;=0),OFFSET('Input data (2)'!AF$126,'Input data (2)'!$BL$1-$D30,0),IF(AND('Input data (2)'!$C$2=3,$C30&gt;=0),OFFSET('Input data (2)'!AF$126,'Input data (2)'!$BL$1-$C30,0),IF(AND('Input data (2)'!$C$2=2,$B30&gt;=0),OFFSET('Input data (2)'!AF$126,'Input data (2)'!$BL$1-$B30,0),IF(AND('Input data (2)'!$C$2=1,$A30&gt;=0),OFFSET('Input data (2)'!AF$126,'Input data (2)'!$BL$1-$A30,0),""))))</f>
        <v>4989</v>
      </c>
      <c r="AK47" s="124">
        <f ca="1">IF(AND('Input data (2)'!$C$2=4,$D30&gt;=0),OFFSET('Input data (2)'!AD$126,'Input data (2)'!$BL$1-$D30,0),IF(AND('Input data (2)'!$C$2=3,$C30&gt;=0),OFFSET('Input data (2)'!AD$126,'Input data (2)'!$BL$1-$C30,0),IF(AND('Input data (2)'!$C$2=2,$B30&gt;=0),OFFSET('Input data (2)'!AD$126,'Input data (2)'!$BL$1-$B30,0),IF(AND('Input data (2)'!$C$2=1,$A30&gt;=0),OFFSET('Input data (2)'!AD$126,'Input data (2)'!$BL$1-$A30,0),""))))</f>
        <v>21</v>
      </c>
      <c r="AL47" s="124">
        <f ca="1">IF(AND('Input data (2)'!$C$2=4,$D30&gt;=0),OFFSET('Input data (2)'!AE$126,'Input data (2)'!$BL$1-$D30,0),IF(AND('Input data (2)'!$C$2=3,$C30&gt;=0),OFFSET('Input data (2)'!AE$126,'Input data (2)'!$BL$1-$C30,0),IF(AND('Input data (2)'!$C$2=2,$B30&gt;=0),OFFSET('Input data (2)'!AE$126,'Input data (2)'!$BL$1-$B30,0),IF(AND('Input data (2)'!$C$2=1,$A30&gt;=0),OFFSET('Input data (2)'!AE$126,'Input data (2)'!$BL$1-$A30,0),""))))</f>
        <v>4968</v>
      </c>
      <c r="AW47" s="1">
        <f ca="1">IF(AND('Input data (2)'!$C$2=4,$D30&gt;=0),OFFSET('Input data (2)'!L$126,'Input data (2)'!$BL$1-$D30,0),IF(AND('Input data (2)'!$C$2=3,$C30&gt;=0),OFFSET('Input data (2)'!L$126,'Input data (2)'!$BL$1-$C30,0),IF(AND('Input data (2)'!$C$2=2,$B30&gt;=0),OFFSET('Input data (2)'!L$126,'Input data (2)'!$BL$1-$B30,0),IF(AND('Input data (2)'!$C$2=1,$A30&gt;=0),OFFSET('Input data (2)'!L$126,'Input data (2)'!$BL$1-$A30,0),""))))</f>
        <v>410</v>
      </c>
      <c r="AX47" s="1">
        <f ca="1">IF(AND('Input data (2)'!$C$2=4,$D30&gt;=0),OFFSET('Input data (2)'!M$126,'Input data (2)'!$BL$1-$D30,0),IF(AND('Input data (2)'!$C$2=3,$C30&gt;=0),OFFSET('Input data (2)'!M$126,'Input data (2)'!$BL$1-$C30,0),IF(AND('Input data (2)'!$C$2=2,$B30&gt;=0),OFFSET('Input data (2)'!M$126,'Input data (2)'!$BL$1-$B30,0),IF(AND('Input data (2)'!$C$2=1,$A30&gt;=0),OFFSET('Input data (2)'!M$126,'Input data (2)'!$BL$1-$A30,0),""))))</f>
        <v>0</v>
      </c>
      <c r="AY47" s="1">
        <f ca="1">IF(AND('Input data (2)'!$C$2=4,$D30&gt;=0),OFFSET('Input data (2)'!N$126,'Input data (2)'!$BL$1-$D30,0),IF(AND('Input data (2)'!$C$2=3,$C30&gt;=0),OFFSET('Input data (2)'!N$126,'Input data (2)'!$BL$1-$C30,0),IF(AND('Input data (2)'!$C$2=2,$B30&gt;=0),OFFSET('Input data (2)'!N$126,'Input data (2)'!$BL$1-$B30,0),IF(AND('Input data (2)'!$C$2=1,$A30&gt;=0),OFFSET('Input data (2)'!N$126,'Input data (2)'!$BL$1-$A30,0),""))))</f>
        <v>974</v>
      </c>
      <c r="AZ47" s="1">
        <f ca="1">IF(AND('Input data (2)'!$C$2=4,$D30&gt;=0),OFFSET('Input data (2)'!P$126,'Input data (2)'!$BL$1-$D30,0),IF(AND('Input data (2)'!$C$2=3,$C30&gt;=0),OFFSET('Input data (2)'!P$126,'Input data (2)'!$BL$1-$C30,0),IF(AND('Input data (2)'!$C$2=2,$B30&gt;=0),OFFSET('Input data (2)'!P$126,'Input data (2)'!$BL$1-$B30,0),IF(AND('Input data (2)'!$C$2=1,$A30&gt;=0),OFFSET('Input data (2)'!P$126,'Input data (2)'!$BL$1-$A30,0),""))))</f>
        <v>194</v>
      </c>
      <c r="BB47" s="1">
        <f ca="1">IF(AND('Input data (2)'!$C$2=4,$D30&gt;=0),OFFSET('Input data (2)'!BB$126,'Input data (2)'!$BL$1-$D30,0),IF(AND('Input data (2)'!$C$2=3,$C30&gt;=0),OFFSET('Input data (2)'!BB$126,'Input data (2)'!$BL$1-$C30,0),IF(AND('Input data (2)'!$C$2=2,$B30&gt;=0),OFFSET('Input data (2)'!BB$126,'Input data (2)'!$BL$1-$B30,0),IF(AND('Input data (2)'!$C$2=1,$A30&gt;=0),OFFSET('Input data (2)'!BB$126,'Input data (2)'!$BL$1-$A30,0),""))))</f>
        <v>5777</v>
      </c>
      <c r="BC47" s="1">
        <f ca="1">IF(AND('Input data (2)'!$C$2=4,$D30&gt;=0),OFFSET('Input data (2)'!AY$126,'Input data (2)'!$BL$1-$D30,0),IF(AND('Input data (2)'!$C$2=3,$C30&gt;=0),OFFSET('Input data (2)'!AY$126,'Input data (2)'!$BL$1-$C30,0),IF(AND('Input data (2)'!$C$2=2,$B30&gt;=0),OFFSET('Input data (2)'!AY$126,'Input data (2)'!$BL$1-$B30,0),IF(AND('Input data (2)'!$C$2=1,$A30&gt;=0),OFFSET('Input data (2)'!AY$126,'Input data (2)'!$BL$1-$A30,0),""))))</f>
        <v>3514</v>
      </c>
      <c r="BD47" s="1">
        <f ca="1">IF(AND('Input data (2)'!$C$2=4,$D30&gt;=0),OFFSET('Input data (2)'!AZ$126,'Input data (2)'!$BL$1-$D30,0),IF(AND('Input data (2)'!$C$2=3,$C30&gt;=0),OFFSET('Input data (2)'!AZ$126,'Input data (2)'!$BL$1-$C30,0),IF(AND('Input data (2)'!$C$2=2,$B30&gt;=0),OFFSET('Input data (2)'!AZ$126,'Input data (2)'!$BL$1-$B30,0),IF(AND('Input data (2)'!$C$2=1,$A30&gt;=0),OFFSET('Input data (2)'!AZ$126,'Input data (2)'!$BL$1-$A30,0),""))))</f>
        <v>2107</v>
      </c>
      <c r="BE47" s="1">
        <f ca="1">IF(AND('Input data (2)'!$C$2=4,$D30&gt;=0),OFFSET('Input data (2)'!BA$126,'Input data (2)'!$BL$1-$D30,0),IF(AND('Input data (2)'!$C$2=3,$C30&gt;=0),OFFSET('Input data (2)'!BA$126,'Input data (2)'!$BL$1-$C30,0),IF(AND('Input data (2)'!$C$2=2,$B30&gt;=0),OFFSET('Input data (2)'!BA$126,'Input data (2)'!$BL$1-$B30,0),IF(AND('Input data (2)'!$C$2=1,$A30&gt;=0),OFFSET('Input data (2)'!BA$126,'Input data (2)'!$BL$1-$A30,0),""))))</f>
        <v>2263</v>
      </c>
      <c r="BF47" s="1">
        <f ca="1">IF(AND('Input data (2)'!$C$2=4,$D30&gt;=0),OFFSET('Input data (2)'!AP$126,'Input data (2)'!$BL$1-$D30,0),IF(AND('Input data (2)'!$C$2=3,$C30&gt;=0),OFFSET('Input data (2)'!AP$126,'Input data (2)'!$BL$1-$C30,0),IF(AND('Input data (2)'!$C$2=2,$B30&gt;=0),OFFSET('Input data (2)'!AP$126,'Input data (2)'!$BL$1-$B30,0),IF(AND('Input data (2)'!$C$2=1,$A30&gt;=0),OFFSET('Input data (2)'!AP$126,'Input data (2)'!$BL$1-$A30,0),""))))</f>
        <v>123</v>
      </c>
      <c r="BG47" s="1">
        <f ca="1">IF(AND('Input data (2)'!$C$2=4,$D30&gt;=0),OFFSET('Input data (2)'!AN$126,'Input data (2)'!$BL$1-$D30,0),IF(AND('Input data (2)'!$C$2=3,$C30&gt;=0),OFFSET('Input data (2)'!AN$126,'Input data (2)'!$BL$1-$C30,0),IF(AND('Input data (2)'!$C$2=2,$B30&gt;=0),OFFSET('Input data (2)'!AN$126,'Input data (2)'!$BL$1-$B30,0),IF(AND('Input data (2)'!$C$2=1,$A30&gt;=0),OFFSET('Input data (2)'!AN$126,'Input data (2)'!$BL$1-$A30,0),""))))</f>
        <v>95</v>
      </c>
      <c r="BH47" s="1">
        <f ca="1">IF(AND('Input data (2)'!$C$2=4,$D30&gt;=0),OFFSET('Input data (2)'!AO$126,'Input data (2)'!$BL$1-$D30,0),IF(AND('Input data (2)'!$C$2=3,$C30&gt;=0),OFFSET('Input data (2)'!AO$126,'Input data (2)'!$BL$1-$C30,0),IF(AND('Input data (2)'!$C$2=2,$B30&gt;=0),OFFSET('Input data (2)'!AO$126,'Input data (2)'!$BL$1-$B30,0),IF(AND('Input data (2)'!$C$2=1,$A30&gt;=0),OFFSET('Input data (2)'!AO$126,'Input data (2)'!$BL$1-$A30,0),""))))</f>
        <v>28</v>
      </c>
      <c r="BJ47" s="1">
        <f ca="1">IF(AND('Input data (2)'!$C$2=4,$D30&gt;=0),OFFSET('Input data (2)'!AU$126,'Input data (2)'!$BL$1-$D30,0),IF(AND('Input data (2)'!$C$2=3,$C30&gt;=0),OFFSET('Input data (2)'!AU$126,'Input data (2)'!$BL$1-$C30,0),IF(AND('Input data (2)'!$C$2=2,$B30&gt;=0),OFFSET('Input data (2)'!AU$126,'Input data (2)'!$BL$1-$B30,0),IF(AND('Input data (2)'!$C$2=1,$A30&gt;=0),OFFSET('Input data (2)'!AU$126,'Input data (2)'!$BL$1-$A30,0),""))))</f>
        <v>17</v>
      </c>
      <c r="BK47" s="1">
        <f ca="1">IF(AND('Input data (2)'!$C$2=4,$D30&gt;=0),OFFSET('Input data (2)'!AV$126,'Input data (2)'!$BL$1-$D30,0),IF(AND('Input data (2)'!$C$2=3,$C30&gt;=0),OFFSET('Input data (2)'!AV$126,'Input data (2)'!$BL$1-$C30,0),IF(AND('Input data (2)'!$C$2=2,$B30&gt;=0),OFFSET('Input data (2)'!AV$126,'Input data (2)'!$BL$1-$B30,0),IF(AND('Input data (2)'!$C$2=1,$A30&gt;=0),OFFSET('Input data (2)'!AV$126,'Input data (2)'!$BL$1-$A30,0),""))))</f>
        <v>0</v>
      </c>
      <c r="BL47" s="1">
        <f ca="1">IF(AND('Input data (2)'!$C$2=4,$D30&gt;=0),OFFSET('Input data (2)'!AW$126,'Input data (2)'!$BL$1-$D30,0),IF(AND('Input data (2)'!$C$2=3,$C30&gt;=0),OFFSET('Input data (2)'!AW$126,'Input data (2)'!$BL$1-$C30,0),IF(AND('Input data (2)'!$C$2=2,$B30&gt;=0),OFFSET('Input data (2)'!AW$126,'Input data (2)'!$BL$1-$B30,0),IF(AND('Input data (2)'!$C$2=1,$A30&gt;=0),OFFSET('Input data (2)'!AW$126,'Input data (2)'!$BL$1-$A30,0),""))))</f>
        <v>14</v>
      </c>
      <c r="BM47" s="1">
        <f ca="1">IF(AND('Input data (2)'!$C$2=4,$D30&gt;=0),OFFSET('Input data (2)'!AX$126,'Input data (2)'!$BL$1-$D30,0),IF(AND('Input data (2)'!$C$2=3,$C30&gt;=0),OFFSET('Input data (2)'!AX$126,'Input data (2)'!$BL$1-$C30,0),IF(AND('Input data (2)'!$C$2=2,$B30&gt;=0),OFFSET('Input data (2)'!AX$126,'Input data (2)'!$BL$1-$B30,0),IF(AND('Input data (2)'!$C$2=1,$A30&gt;=0),OFFSET('Input data (2)'!AX$126,'Input data (2)'!$BL$1-$A30,0),""))))</f>
        <v>0</v>
      </c>
      <c r="BO47" s="1">
        <f ca="1">IF(AND('Input data (2)'!$C$2=4,$D30&gt;=0),OFFSET('Input data (2)'!BL$126,'Input data (2)'!$BL$1-$D30,0),IF(AND('Input data (2)'!$C$2=3,$C30&gt;=0),OFFSET('Input data (2)'!BL$126,'Input data (2)'!$BL$1-$C30,0),IF(AND('Input data (2)'!$C$2=2,$B30&gt;=0),OFFSET('Input data (2)'!BL$126,'Input data (2)'!$BL$1-$B30,0),IF(AND('Input data (2)'!$C$2=1,$A30&gt;=0),OFFSET('Input data (2)'!BL$126,'Input data (2)'!$BL$1-$A30,0),""))))</f>
        <v>379</v>
      </c>
      <c r="BP47" s="1">
        <f ca="1">IF(AND('Input data (2)'!$C$2=4,$D30&gt;=0),OFFSET('Input data (2)'!BI$126,'Input data (2)'!$BL$1-$D30,0),IF(AND('Input data (2)'!$C$2=3,$C30&gt;=0),OFFSET('Input data (2)'!BI$126,'Input data (2)'!$BL$1-$C30,0),IF(AND('Input data (2)'!$C$2=2,$B30&gt;=0),OFFSET('Input data (2)'!BI$126,'Input data (2)'!$BL$1-$B30,0),IF(AND('Input data (2)'!$C$2=1,$A30&gt;=0),OFFSET('Input data (2)'!BI$126,'Input data (2)'!$BL$1-$A30,0),""))))</f>
        <v>198</v>
      </c>
      <c r="BQ47" s="1" t="str">
        <f ca="1">IF(AND('Input data (2)'!$C$2=4,$D30&gt;=0),OFFSET('Input data (2)'!BK$126,'Input data (2)'!$BL$1-$D30,0),IF(AND('Input data (2)'!$C$2=3,$C30&gt;=0),OFFSET('Input data (2)'!BK$126,'Input data (2)'!$BL$1-$C30,0),IF(AND('Input data (2)'!$C$2=2,$B30&gt;=0),OFFSET('Input data (2)'!BK$126,'Input data (2)'!$BL$1-$B30,0),IF(AND('Input data (2)'!$C$2=1,$A30&gt;=0),OFFSET('Input data (2)'!BK$126,'Input data (2)'!$BL$1-$A30,0),""))))</f>
        <v>..</v>
      </c>
      <c r="BR47" s="1">
        <f ca="1">IF(AND('Input data (2)'!$C$2=4,$D30&gt;=0),OFFSET('Input data (2)'!BJ$126,'Input data (2)'!$BL$1-$D30,0),IF(AND('Input data (2)'!$C$2=3,$C30&gt;=0),OFFSET('Input data (2)'!BJ$126,'Input data (2)'!$BL$1-$C30,0),IF(AND('Input data (2)'!$C$2=2,$B30&gt;=0),OFFSET('Input data (2)'!BJ$126,'Input data (2)'!$BL$1-$B30,0),IF(AND('Input data (2)'!$C$2=1,$A30&gt;=0),OFFSET('Input data (2)'!BJ$126,'Input data (2)'!$BL$1-$A30,0),""))))</f>
        <v>181</v>
      </c>
      <c r="BS47" s="1">
        <f ca="1">IF(AND('Input data (2)'!$C$2=4,$D30&gt;=0),OFFSET('Input data (2)'!BF$126,'Input data (2)'!$BL$1-$D30,0),IF(AND('Input data (2)'!$C$2=3,$C30&gt;=0),OFFSET('Input data (2)'!BF$126,'Input data (2)'!$BL$1-$C30,0),IF(AND('Input data (2)'!$C$2=2,$B30&gt;=0),OFFSET('Input data (2)'!BF$126,'Input data (2)'!$BL$1-$B30,0),IF(AND('Input data (2)'!$C$2=1,$A30&gt;=0),OFFSET('Input data (2)'!BF$126,'Input data (2)'!$BL$1-$A30,0),""))))</f>
        <v>51</v>
      </c>
      <c r="BT47" s="1">
        <f ca="1">IF(AND('Input data (2)'!$C$2=4,$D30&gt;=0),OFFSET('Input data (2)'!BD$126,'Input data (2)'!$BL$1-$D30,0),IF(AND('Input data (2)'!$C$2=3,$C30&gt;=0),OFFSET('Input data (2)'!BD$126,'Input data (2)'!$BL$1-$C30,0),IF(AND('Input data (2)'!$C$2=2,$B30&gt;=0),OFFSET('Input data (2)'!BD$126,'Input data (2)'!$BL$1-$B30,0),IF(AND('Input data (2)'!$C$2=1,$A30&gt;=0),OFFSET('Input data (2)'!BD$126,'Input data (2)'!$BL$1-$A30,0),""))))</f>
        <v>27</v>
      </c>
      <c r="BU47" s="1">
        <f ca="1">IF(AND('Input data (2)'!$C$2=4,$D30&gt;=0),OFFSET('Input data (2)'!BE$126,'Input data (2)'!$BL$1-$D30,0),IF(AND('Input data (2)'!$C$2=3,$C30&gt;=0),OFFSET('Input data (2)'!BE$126,'Input data (2)'!$BL$1-$C30,0),IF(AND('Input data (2)'!$C$2=2,$B30&gt;=0),OFFSET('Input data (2)'!BE$126,'Input data (2)'!$BL$1-$B30,0),IF(AND('Input data (2)'!$C$2=1,$A30&gt;=0),OFFSET('Input data (2)'!BE$126,'Input data (2)'!$BL$1-$A30,0),""))))</f>
        <v>24</v>
      </c>
      <c r="BW47" s="7">
        <f ca="1">IF(AND('Input data (2)'!$C$2=4,$D30&gt;=0),OFFSET('Input data (2)'!J$126,'Input data (2)'!$BL$1-$D30,0),IF(AND('Input data (2)'!$C$2=3,$C30&gt;=0),OFFSET('Input data (2)'!J$126,'Input data (2)'!$BL$1-$C30,0),IF(AND('Input data (2)'!$C$2=2,$B30&gt;=0),OFFSET('Input data (2)'!J$126,'Input data (2)'!$BL$1-$B30,0),IF(AND('Input data (2)'!$C$2=1,$A30&gt;=0),OFFSET('Input data (2)'!J$126,'Input data (2)'!$BL$1-$A30,0),""))))</f>
        <v>0.93608435108930765</v>
      </c>
      <c r="BX47" s="7">
        <f ca="1">IF(AND('Input data (2)'!$C$2=4,$D30&gt;=0),OFFSET('Input data (2)'!K$126,'Input data (2)'!$BL$1-$D30,0),IF(AND('Input data (2)'!$C$2=3,$C30&gt;=0),OFFSET('Input data (2)'!K$126,'Input data (2)'!$BL$1-$C30,0),IF(AND('Input data (2)'!$C$2=2,$B30&gt;=0),OFFSET('Input data (2)'!K$126,'Input data (2)'!$BL$1-$B30,0),IF(AND('Input data (2)'!$C$2=1,$A30&gt;=0),OFFSET('Input data (2)'!K$126,'Input data (2)'!$BL$1-$A30,0),""))))</f>
        <v>0.80782710797488755</v>
      </c>
      <c r="BY47" s="7">
        <f ca="1">IF(AND('Input data (2)'!$C$2=4,$D30&gt;=0),OFFSET('Input data (2)'!AS$126,'Input data (2)'!$BL$1-$D30,0),IF(AND('Input data (2)'!$C$2=3,$C30&gt;=0),OFFSET('Input data (2)'!AS$126,'Input data (2)'!$BL$1-$C30,0),IF(AND('Input data (2)'!$C$2=2,$B30&gt;=0),OFFSET('Input data (2)'!AS$126,'Input data (2)'!$BL$1-$B30,0),IF(AND('Input data (2)'!$C$2=1,$A30&gt;=0),OFFSET('Input data (2)'!AS$126,'Input data (2)'!$BL$1-$A30,0),""))))</f>
        <v>0.45105861860445656</v>
      </c>
      <c r="BZ47" s="7">
        <f ca="1">IF(AND('Input data (2)'!$C$2=4,$D30&gt;=0),OFFSET('Input data (2)'!AT$126,'Input data (2)'!$BL$1-$D30,0),IF(AND('Input data (2)'!$C$2=3,$C30&gt;=0),OFFSET('Input data (2)'!AT$126,'Input data (2)'!$BL$1-$C30,0),IF(AND('Input data (2)'!$C$2=2,$B30&gt;=0),OFFSET('Input data (2)'!AT$126,'Input data (2)'!$BL$1-$B30,0),IF(AND('Input data (2)'!$C$2=1,$A30&gt;=0),OFFSET('Input data (2)'!AT$126,'Input data (2)'!$BL$1-$A30,0),""))))</f>
        <v>0.40440457734152291</v>
      </c>
      <c r="CB47" s="122"/>
      <c r="CC47" s="122"/>
      <c r="CD47" s="122"/>
      <c r="CE47" s="122"/>
      <c r="CK47" s="1"/>
      <c r="CL47" s="1"/>
      <c r="CM47" s="1"/>
      <c r="CN47" s="1"/>
      <c r="CO47" s="1"/>
      <c r="CP47" s="1"/>
    </row>
    <row r="48" spans="1:131" x14ac:dyDescent="0.15">
      <c r="E48" s="1" t="str">
        <f>F48&amp;G48</f>
        <v>2009Q4</v>
      </c>
      <c r="F48" s="1">
        <f>F43+1</f>
        <v>2009</v>
      </c>
      <c r="G48" s="1" t="s">
        <v>4</v>
      </c>
      <c r="H48" s="1">
        <f>VLOOKUP($E48,'Input data (2)'!$A:$BL,'Output data - DO NOT TOUCH (2)'!H$71,FALSE)</f>
        <v>4372</v>
      </c>
      <c r="I48" s="1">
        <f>VLOOKUP($E48,'Input data (2)'!$A:$BL,'Output data - DO NOT TOUCH (2)'!I$71,FALSE)</f>
        <v>1315</v>
      </c>
      <c r="J48" s="1">
        <f>VLOOKUP($E48,'Input data (2)'!$A:$BL,'Output data - DO NOT TOUCH (2)'!J$71,FALSE)</f>
        <v>3057</v>
      </c>
      <c r="K48" s="1">
        <f>VLOOKUP($E48,'Input data (2)'!$A:$BL,'Output data - DO NOT TOUCH (2)'!K$71,FALSE)</f>
        <v>4520</v>
      </c>
      <c r="L48" s="1">
        <f>VLOOKUP($E48,'Input data (2)'!$A:$BL,'Output data - DO NOT TOUCH (2)'!L$71,FALSE)</f>
        <v>1299</v>
      </c>
      <c r="M48" s="1">
        <f>VLOOKUP($E48,'Input data (2)'!$A:$BL,'Output data - DO NOT TOUCH (2)'!M$71,FALSE)</f>
        <v>3221</v>
      </c>
      <c r="O48" s="119">
        <f ca="1">IF(AND('Input data (2)'!$C$2=4,$D31&gt;=0),OFFSET('Input data (2)'!O$126,'Input data (2)'!$BL$1-$D31,0),IF(AND('Input data (2)'!$C$2=3,$C31&gt;=0),OFFSET('Input data (2)'!O$126,'Input data (2)'!$BL$1-$C31,0),IF(AND('Input data (2)'!$C$2=2,$B31&gt;=0),OFFSET('Input data (2)'!O$126,'Input data (2)'!$BL$1-$B31,0),IF(AND('Input data (2)'!$C$2=1,$A31&gt;=0),OFFSET('Input data (2)'!O$126,'Input data (2)'!$BL$1-$A31,0),""))))</f>
        <v>404</v>
      </c>
      <c r="Q48" s="1">
        <f ca="1">IF(AND('Input data (2)'!$C$2=4,$D31&gt;=0),OFFSET('Input data (2)'!AC$126,'Input data (2)'!$BL$1-$D31,0),IF(AND('Input data (2)'!$C$2=3,$C31&gt;=0),OFFSET('Input data (2)'!AC$126,'Input data (2)'!$BL$1-$C31,0),IF(AND('Input data (2)'!$C$2=2,$B31&gt;=0),OFFSET('Input data (2)'!AC$126,'Input data (2)'!$BL$1-$B31,0),IF(AND('Input data (2)'!$C$2=1,$A31&gt;=0),OFFSET('Input data (2)'!AC$126,'Input data (2)'!$BL$1-$A31,0),""))))</f>
        <v>35574</v>
      </c>
      <c r="R48" s="1">
        <f ca="1">IF(AND('Input data (2)'!$C$2=4,$D31&gt;=0),OFFSET('Input data (2)'!Q$126,'Input data (2)'!$BL$1-$D31,0),IF(AND('Input data (2)'!$C$2=3,$C31&gt;=0),OFFSET('Input data (2)'!Q$126,'Input data (2)'!$BL$1-$C31,0),IF(AND('Input data (2)'!$C$2=2,$B31&gt;=0),OFFSET('Input data (2)'!Q$126,'Input data (2)'!$BL$1-$B31,0),IF(AND('Input data (2)'!$C$2=1,$A31&gt;=0),OFFSET('Input data (2)'!Q$126,'Input data (2)'!$BL$1-$A31,0),""))))</f>
        <v>17007</v>
      </c>
      <c r="S48" s="1">
        <f ca="1">IF(AND('Input data (2)'!$C$2=4,$D31&gt;=0),OFFSET('Input data (2)'!R$126,'Input data (2)'!$BL$1-$D31,0),IF(AND('Input data (2)'!$C$2=3,$C31&gt;=0),OFFSET('Input data (2)'!R$126,'Input data (2)'!$BL$1-$C31,0),IF(AND('Input data (2)'!$C$2=2,$B31&gt;=0),OFFSET('Input data (2)'!R$126,'Input data (2)'!$BL$1-$B31,0),IF(AND('Input data (2)'!$C$2=1,$A31&gt;=0),OFFSET('Input data (2)'!R$126,'Input data (2)'!$BL$1-$A31,0),""))))</f>
        <v>5348</v>
      </c>
      <c r="T48" s="1">
        <f ca="1">IF(AND('Input data (2)'!$C$2=4,$D31&gt;=0),OFFSET('Input data (2)'!AA$126,'Input data (2)'!$BL$1-$D31,0),IF(AND('Input data (2)'!$C$2=3,$C31&gt;=0),OFFSET('Input data (2)'!AA$126,'Input data (2)'!$BL$1-$C31,0),IF(AND('Input data (2)'!$C$2=2,$B31&gt;=0),OFFSET('Input data (2)'!AA$126,'Input data (2)'!$BL$1-$B31,0),IF(AND('Input data (2)'!$C$2=1,$A31&gt;=0),OFFSET('Input data (2)'!AA$126,'Input data (2)'!$BL$1-$A31,0),""))))</f>
        <v>13219</v>
      </c>
      <c r="U48" s="1" t="str">
        <f ca="1">IF(AND('Input data (2)'!$C$2=4,$D31&gt;=0),OFFSET('Input data (2)'!AL$126,'Input data (2)'!$BL$1-$D31,0),IF(AND('Input data (2)'!$C$2=3,$C31&gt;=0),OFFSET('Input data (2)'!AL$126,'Input data (2)'!$BL$1-$C31,0),IF(AND('Input data (2)'!$C$2=2,$B31&gt;=0),OFFSET('Input data (2)'!AL$126,'Input data (2)'!$BL$1-$B31,0),IF(AND('Input data (2)'!$C$2=1,$A31&gt;=0),OFFSET('Input data (2)'!AL$126,'Input data (2)'!$BL$1-$A31,0),""))))</f>
        <v>:</v>
      </c>
      <c r="V48" s="1">
        <f ca="1">IF(AND('Input data (2)'!$C$2=4,$D31&gt;=0),OFFSET('Input data (2)'!AJ$126,'Input data (2)'!$BL$1-$D31,0),IF(AND('Input data (2)'!$C$2=3,$C31&gt;=0),OFFSET('Input data (2)'!AJ$126,'Input data (2)'!$BL$1-$C31,0),IF(AND('Input data (2)'!$C$2=2,$B31&gt;=0),OFFSET('Input data (2)'!AJ$126,'Input data (2)'!$BL$1-$B31,0),IF(AND('Input data (2)'!$C$2=1,$A31&gt;=0),OFFSET('Input data (2)'!AJ$126,'Input data (2)'!$BL$1-$A31,0),""))))</f>
        <v>17933</v>
      </c>
      <c r="W48" s="1">
        <f ca="1">IF(AND('Input data (2)'!$C$2=4,$D31&gt;=0),OFFSET('Input data (2)'!AK$126,'Input data (2)'!$BL$1-$D31,0),IF(AND('Input data (2)'!$C$2=3,$C31&gt;=0),OFFSET('Input data (2)'!AK$126,'Input data (2)'!$BL$1-$C31,0),IF(AND('Input data (2)'!$C$2=2,$B31&gt;=0),OFFSET('Input data (2)'!AK$126,'Input data (2)'!$BL$1-$B31,0),IF(AND('Input data (2)'!$C$2=1,$A31&gt;=0),OFFSET('Input data (2)'!AK$126,'Input data (2)'!$BL$1-$A31,0),""))))</f>
        <v>13018</v>
      </c>
      <c r="Y48" s="1">
        <f ca="1">IF(AND('Input data (2)'!$C$2=4,$D31&gt;=0),OFFSET('Input data (2)'!Q$126,'Input data (2)'!$BL$1-$D31,0),IF(AND('Input data (2)'!$C$2=3,$C31&gt;=0),OFFSET('Input data (2)'!Q$126,'Input data (2)'!$BL$1-$C31,0),IF(AND('Input data (2)'!$C$2=2,$B31&gt;=0),OFFSET('Input data (2)'!Q$126,'Input data (2)'!$BL$1-$B31,0),IF(AND('Input data (2)'!$C$2=1,$A31&gt;=0),OFFSET('Input data (2)'!Q$126,'Input data (2)'!$BL$1-$A31,0),""))))</f>
        <v>17007</v>
      </c>
      <c r="Z48" s="1">
        <f ca="1">IF(AND('Input data (2)'!$C$2=4,$D31&gt;=0),OFFSET('Input data (2)'!S$126,'Input data (2)'!$BL$1-$D31,0),IF(AND('Input data (2)'!$C$2=3,$C31&gt;=0),OFFSET('Input data (2)'!S$126,'Input data (2)'!$BL$1-$C31,0),IF(AND('Input data (2)'!$C$2=2,$B31&gt;=0),OFFSET('Input data (2)'!S$126,'Input data (2)'!$BL$1-$B31,0),IF(AND('Input data (2)'!$C$2=1,$A31&gt;=0),OFFSET('Input data (2)'!S$126,'Input data (2)'!$BL$1-$A31,0),""))))</f>
        <v>14317</v>
      </c>
      <c r="AA48" s="1">
        <f ca="1">IF(AND('Input data (2)'!$C$2=4,$D31&gt;=0),OFFSET('Input data (2)'!T$126,'Input data (2)'!$BL$1-$D31,0),IF(AND('Input data (2)'!$C$2=3,$C31&gt;=0),OFFSET('Input data (2)'!T$126,'Input data (2)'!$BL$1-$C31,0),IF(AND('Input data (2)'!$C$2=2,$B31&gt;=0),OFFSET('Input data (2)'!T$126,'Input data (2)'!$BL$1-$B31,0),IF(AND('Input data (2)'!$C$2=1,$A31&gt;=0),OFFSET('Input data (2)'!T$126,'Input data (2)'!$BL$1-$A31,0),""))))</f>
        <v>84.182983477391659</v>
      </c>
      <c r="AB48" s="1">
        <f ca="1">IF(AND('Input data (2)'!$C$2=4,$D31&gt;=0),OFFSET('Input data (2)'!U$126,'Input data (2)'!$BL$1-$D31,0),IF(AND('Input data (2)'!$C$2=3,$C31&gt;=0),OFFSET('Input data (2)'!U$126,'Input data (2)'!$BL$1-$C31,0),IF(AND('Input data (2)'!$C$2=2,$B31&gt;=0),OFFSET('Input data (2)'!U$126,'Input data (2)'!$BL$1-$B31,0),IF(AND('Input data (2)'!$C$2=1,$A31&gt;=0),OFFSET('Input data (2)'!U$126,'Input data (2)'!$BL$1-$A31,0),""))))</f>
        <v>2690</v>
      </c>
      <c r="AC48" s="1">
        <f ca="1">IF(AND('Input data (2)'!$C$2=4,$D31&gt;=0),OFFSET('Input data (2)'!V$126,'Input data (2)'!$BL$1-$D31,0),IF(AND('Input data (2)'!$C$2=3,$C31&gt;=0),OFFSET('Input data (2)'!V$126,'Input data (2)'!$BL$1-$C31,0),IF(AND('Input data (2)'!$C$2=2,$B31&gt;=0),OFFSET('Input data (2)'!V$126,'Input data (2)'!$BL$1-$B31,0),IF(AND('Input data (2)'!$C$2=1,$A31&gt;=0),OFFSET('Input data (2)'!V$126,'Input data (2)'!$BL$1-$A31,0),""))))</f>
        <v>15.817016522608338</v>
      </c>
      <c r="AD48" s="1">
        <f ca="1">IF(AND('Input data (2)'!$C$2=4,$D31&gt;=0),OFFSET('Input data (2)'!Q$126,'Input data (2)'!$BL$1-$D31,0),IF(AND('Input data (2)'!$C$2=3,$C31&gt;=0),OFFSET('Input data (2)'!Q$126,'Input data (2)'!$BL$1-$C31,0),IF(AND('Input data (2)'!$C$2=2,$B31&gt;=0),OFFSET('Input data (2)'!Q$126,'Input data (2)'!$BL$1-$B31,0),IF(AND('Input data (2)'!$C$2=1,$A31&gt;=0),OFFSET('Input data (2)'!Q$126,'Input data (2)'!$BL$1-$A31,0),""))))</f>
        <v>17007</v>
      </c>
      <c r="AE48" s="1">
        <f ca="1">IF(AND('Input data (2)'!$C$2=4,$D31&gt;=0),OFFSET('Input data (2)'!W$126,'Input data (2)'!$BL$1-$D31,0),IF(AND('Input data (2)'!$C$2=3,$C31&gt;=0),OFFSET('Input data (2)'!W$126,'Input data (2)'!$BL$1-$C31,0),IF(AND('Input data (2)'!$C$2=2,$B31&gt;=0),OFFSET('Input data (2)'!W$126,'Input data (2)'!$BL$1-$B31,0),IF(AND('Input data (2)'!$C$2=1,$A31&gt;=0),OFFSET('Input data (2)'!W$126,'Input data (2)'!$BL$1-$A31,0),""))))</f>
        <v>2205</v>
      </c>
      <c r="AF48" s="1">
        <f ca="1">IF(AND('Input data (2)'!$C$2=4,$D31&gt;=0),OFFSET('Input data (2)'!X$126,'Input data (2)'!$BL$1-$D31,0),IF(AND('Input data (2)'!$C$2=3,$C31&gt;=0),OFFSET('Input data (2)'!X$126,'Input data (2)'!$BL$1-$C31,0),IF(AND('Input data (2)'!$C$2=2,$B31&gt;=0),OFFSET('Input data (2)'!X$126,'Input data (2)'!$BL$1-$B31,0),IF(AND('Input data (2)'!$C$2=1,$A31&gt;=0),OFFSET('Input data (2)'!X$126,'Input data (2)'!$BL$1-$A31,0),""))))</f>
        <v>12.965249603104603</v>
      </c>
      <c r="AG48" s="1">
        <f ca="1">IF(AND('Input data (2)'!$C$2=4,$D31&gt;=0),OFFSET('Input data (2)'!Y$126,'Input data (2)'!$BL$1-$D31,0),IF(AND('Input data (2)'!$C$2=3,$C31&gt;=0),OFFSET('Input data (2)'!Y$126,'Input data (2)'!$BL$1-$C31,0),IF(AND('Input data (2)'!$C$2=2,$B31&gt;=0),OFFSET('Input data (2)'!Y$126,'Input data (2)'!$BL$1-$B31,0),IF(AND('Input data (2)'!$C$2=1,$A31&gt;=0),OFFSET('Input data (2)'!Y$126,'Input data (2)'!$BL$1-$A31,0),""))))</f>
        <v>14802</v>
      </c>
      <c r="AH48" s="1">
        <f ca="1">IF(AND('Input data (2)'!$C$2=4,$D31&gt;=0),OFFSET('Input data (2)'!Z$126,'Input data (2)'!$BL$1-$D31,0),IF(AND('Input data (2)'!$C$2=3,$C31&gt;=0),OFFSET('Input data (2)'!Z$126,'Input data (2)'!$BL$1-$C31,0),IF(AND('Input data (2)'!$C$2=2,$B31&gt;=0),OFFSET('Input data (2)'!Z$126,'Input data (2)'!$BL$1-$B31,0),IF(AND('Input data (2)'!$C$2=1,$A31&gt;=0),OFFSET('Input data (2)'!Z$126,'Input data (2)'!$BL$1-$A31,0),""))))</f>
        <v>87.034750396895404</v>
      </c>
      <c r="AI48" s="3"/>
      <c r="AJ48" s="124">
        <f ca="1">IF(AND('Input data (2)'!$C$2=4,$D31&gt;=0),OFFSET('Input data (2)'!AF$126,'Input data (2)'!$BL$1-$D31,0),IF(AND('Input data (2)'!$C$2=3,$C31&gt;=0),OFFSET('Input data (2)'!AF$126,'Input data (2)'!$BL$1-$C31,0),IF(AND('Input data (2)'!$C$2=2,$B31&gt;=0),OFFSET('Input data (2)'!AF$126,'Input data (2)'!$BL$1-$B31,0),IF(AND('Input data (2)'!$C$2=1,$A31&gt;=0),OFFSET('Input data (2)'!AF$126,'Input data (2)'!$BL$1-$A31,0),""))))</f>
        <v>4940</v>
      </c>
      <c r="AK48" s="124">
        <f ca="1">IF(AND('Input data (2)'!$C$2=4,$D31&gt;=0),OFFSET('Input data (2)'!AD$126,'Input data (2)'!$BL$1-$D31,0),IF(AND('Input data (2)'!$C$2=3,$C31&gt;=0),OFFSET('Input data (2)'!AD$126,'Input data (2)'!$BL$1-$C31,0),IF(AND('Input data (2)'!$C$2=2,$B31&gt;=0),OFFSET('Input data (2)'!AD$126,'Input data (2)'!$BL$1-$B31,0),IF(AND('Input data (2)'!$C$2=1,$A31&gt;=0),OFFSET('Input data (2)'!AD$126,'Input data (2)'!$BL$1-$A31,0),""))))</f>
        <v>11</v>
      </c>
      <c r="AL48" s="124">
        <f ca="1">IF(AND('Input data (2)'!$C$2=4,$D31&gt;=0),OFFSET('Input data (2)'!AE$126,'Input data (2)'!$BL$1-$D31,0),IF(AND('Input data (2)'!$C$2=3,$C31&gt;=0),OFFSET('Input data (2)'!AE$126,'Input data (2)'!$BL$1-$C31,0),IF(AND('Input data (2)'!$C$2=2,$B31&gt;=0),OFFSET('Input data (2)'!AE$126,'Input data (2)'!$BL$1-$B31,0),IF(AND('Input data (2)'!$C$2=1,$A31&gt;=0),OFFSET('Input data (2)'!AE$126,'Input data (2)'!$BL$1-$A31,0),""))))</f>
        <v>4929</v>
      </c>
      <c r="AW48" s="1">
        <f ca="1">IF(AND('Input data (2)'!$C$2=4,$D31&gt;=0),OFFSET('Input data (2)'!L$126,'Input data (2)'!$BL$1-$D31,0),IF(AND('Input data (2)'!$C$2=3,$C31&gt;=0),OFFSET('Input data (2)'!L$126,'Input data (2)'!$BL$1-$C31,0),IF(AND('Input data (2)'!$C$2=2,$B31&gt;=0),OFFSET('Input data (2)'!L$126,'Input data (2)'!$BL$1-$B31,0),IF(AND('Input data (2)'!$C$2=1,$A31&gt;=0),OFFSET('Input data (2)'!L$126,'Input data (2)'!$BL$1-$A31,0),""))))</f>
        <v>397</v>
      </c>
      <c r="AX48" s="1">
        <f ca="1">IF(AND('Input data (2)'!$C$2=4,$D31&gt;=0),OFFSET('Input data (2)'!M$126,'Input data (2)'!$BL$1-$D31,0),IF(AND('Input data (2)'!$C$2=3,$C31&gt;=0),OFFSET('Input data (2)'!M$126,'Input data (2)'!$BL$1-$C31,0),IF(AND('Input data (2)'!$C$2=2,$B31&gt;=0),OFFSET('Input data (2)'!M$126,'Input data (2)'!$BL$1-$B31,0),IF(AND('Input data (2)'!$C$2=1,$A31&gt;=0),OFFSET('Input data (2)'!M$126,'Input data (2)'!$BL$1-$A31,0),""))))</f>
        <v>0</v>
      </c>
      <c r="AY48" s="1">
        <f ca="1">IF(AND('Input data (2)'!$C$2=4,$D31&gt;=0),OFFSET('Input data (2)'!N$126,'Input data (2)'!$BL$1-$D31,0),IF(AND('Input data (2)'!$C$2=3,$C31&gt;=0),OFFSET('Input data (2)'!N$126,'Input data (2)'!$BL$1-$C31,0),IF(AND('Input data (2)'!$C$2=2,$B31&gt;=0),OFFSET('Input data (2)'!N$126,'Input data (2)'!$BL$1-$B31,0),IF(AND('Input data (2)'!$C$2=1,$A31&gt;=0),OFFSET('Input data (2)'!N$126,'Input data (2)'!$BL$1-$A31,0),""))))</f>
        <v>849</v>
      </c>
      <c r="AZ48" s="1">
        <f ca="1">IF(AND('Input data (2)'!$C$2=4,$D31&gt;=0),OFFSET('Input data (2)'!P$126,'Input data (2)'!$BL$1-$D31,0),IF(AND('Input data (2)'!$C$2=3,$C31&gt;=0),OFFSET('Input data (2)'!P$126,'Input data (2)'!$BL$1-$C31,0),IF(AND('Input data (2)'!$C$2=2,$B31&gt;=0),OFFSET('Input data (2)'!P$126,'Input data (2)'!$BL$1-$B31,0),IF(AND('Input data (2)'!$C$2=1,$A31&gt;=0),OFFSET('Input data (2)'!P$126,'Input data (2)'!$BL$1-$A31,0),""))))</f>
        <v>219</v>
      </c>
      <c r="BB48" s="1">
        <f ca="1">IF(AND('Input data (2)'!$C$2=4,$D31&gt;=0),OFFSET('Input data (2)'!BB$126,'Input data (2)'!$BL$1-$D31,0),IF(AND('Input data (2)'!$C$2=3,$C31&gt;=0),OFFSET('Input data (2)'!BB$126,'Input data (2)'!$BL$1-$C31,0),IF(AND('Input data (2)'!$C$2=2,$B31&gt;=0),OFFSET('Input data (2)'!BB$126,'Input data (2)'!$BL$1-$B31,0),IF(AND('Input data (2)'!$C$2=1,$A31&gt;=0),OFFSET('Input data (2)'!BB$126,'Input data (2)'!$BL$1-$A31,0),""))))</f>
        <v>5693</v>
      </c>
      <c r="BC48" s="1">
        <f ca="1">IF(AND('Input data (2)'!$C$2=4,$D31&gt;=0),OFFSET('Input data (2)'!AY$126,'Input data (2)'!$BL$1-$D31,0),IF(AND('Input data (2)'!$C$2=3,$C31&gt;=0),OFFSET('Input data (2)'!AY$126,'Input data (2)'!$BL$1-$C31,0),IF(AND('Input data (2)'!$C$2=2,$B31&gt;=0),OFFSET('Input data (2)'!AY$126,'Input data (2)'!$BL$1-$B31,0),IF(AND('Input data (2)'!$C$2=1,$A31&gt;=0),OFFSET('Input data (2)'!AY$126,'Input data (2)'!$BL$1-$A31,0),""))))</f>
        <v>3365</v>
      </c>
      <c r="BD48" s="1">
        <f ca="1">IF(AND('Input data (2)'!$C$2=4,$D31&gt;=0),OFFSET('Input data (2)'!AZ$126,'Input data (2)'!$BL$1-$D31,0),IF(AND('Input data (2)'!$C$2=3,$C31&gt;=0),OFFSET('Input data (2)'!AZ$126,'Input data (2)'!$BL$1-$C31,0),IF(AND('Input data (2)'!$C$2=2,$B31&gt;=0),OFFSET('Input data (2)'!AZ$126,'Input data (2)'!$BL$1-$B31,0),IF(AND('Input data (2)'!$C$2=1,$A31&gt;=0),OFFSET('Input data (2)'!AZ$126,'Input data (2)'!$BL$1-$A31,0),""))))</f>
        <v>1990</v>
      </c>
      <c r="BE48" s="1">
        <f ca="1">IF(AND('Input data (2)'!$C$2=4,$D31&gt;=0),OFFSET('Input data (2)'!BA$126,'Input data (2)'!$BL$1-$D31,0),IF(AND('Input data (2)'!$C$2=3,$C31&gt;=0),OFFSET('Input data (2)'!BA$126,'Input data (2)'!$BL$1-$C31,0),IF(AND('Input data (2)'!$C$2=2,$B31&gt;=0),OFFSET('Input data (2)'!BA$126,'Input data (2)'!$BL$1-$B31,0),IF(AND('Input data (2)'!$C$2=1,$A31&gt;=0),OFFSET('Input data (2)'!BA$126,'Input data (2)'!$BL$1-$A31,0),""))))</f>
        <v>2328</v>
      </c>
      <c r="BF48" s="1">
        <f ca="1">IF(AND('Input data (2)'!$C$2=4,$D31&gt;=0),OFFSET('Input data (2)'!AP$126,'Input data (2)'!$BL$1-$D31,0),IF(AND('Input data (2)'!$C$2=3,$C31&gt;=0),OFFSET('Input data (2)'!AP$126,'Input data (2)'!$BL$1-$C31,0),IF(AND('Input data (2)'!$C$2=2,$B31&gt;=0),OFFSET('Input data (2)'!AP$126,'Input data (2)'!$BL$1-$B31,0),IF(AND('Input data (2)'!$C$2=1,$A31&gt;=0),OFFSET('Input data (2)'!AP$126,'Input data (2)'!$BL$1-$A31,0),""))))</f>
        <v>154</v>
      </c>
      <c r="BG48" s="1">
        <f ca="1">IF(AND('Input data (2)'!$C$2=4,$D31&gt;=0),OFFSET('Input data (2)'!AN$126,'Input data (2)'!$BL$1-$D31,0),IF(AND('Input data (2)'!$C$2=3,$C31&gt;=0),OFFSET('Input data (2)'!AN$126,'Input data (2)'!$BL$1-$C31,0),IF(AND('Input data (2)'!$C$2=2,$B31&gt;=0),OFFSET('Input data (2)'!AN$126,'Input data (2)'!$BL$1-$B31,0),IF(AND('Input data (2)'!$C$2=1,$A31&gt;=0),OFFSET('Input data (2)'!AN$126,'Input data (2)'!$BL$1-$A31,0),""))))</f>
        <v>106</v>
      </c>
      <c r="BH48" s="1">
        <f ca="1">IF(AND('Input data (2)'!$C$2=4,$D31&gt;=0),OFFSET('Input data (2)'!AO$126,'Input data (2)'!$BL$1-$D31,0),IF(AND('Input data (2)'!$C$2=3,$C31&gt;=0),OFFSET('Input data (2)'!AO$126,'Input data (2)'!$BL$1-$C31,0),IF(AND('Input data (2)'!$C$2=2,$B31&gt;=0),OFFSET('Input data (2)'!AO$126,'Input data (2)'!$BL$1-$B31,0),IF(AND('Input data (2)'!$C$2=1,$A31&gt;=0),OFFSET('Input data (2)'!AO$126,'Input data (2)'!$BL$1-$A31,0),""))))</f>
        <v>48</v>
      </c>
      <c r="BJ48" s="1">
        <f ca="1">IF(AND('Input data (2)'!$C$2=4,$D31&gt;=0),OFFSET('Input data (2)'!AU$126,'Input data (2)'!$BL$1-$D31,0),IF(AND('Input data (2)'!$C$2=3,$C31&gt;=0),OFFSET('Input data (2)'!AU$126,'Input data (2)'!$BL$1-$C31,0),IF(AND('Input data (2)'!$C$2=2,$B31&gt;=0),OFFSET('Input data (2)'!AU$126,'Input data (2)'!$BL$1-$B31,0),IF(AND('Input data (2)'!$C$2=1,$A31&gt;=0),OFFSET('Input data (2)'!AU$126,'Input data (2)'!$BL$1-$A31,0),""))))</f>
        <v>6</v>
      </c>
      <c r="BK48" s="1">
        <f ca="1">IF(AND('Input data (2)'!$C$2=4,$D31&gt;=0),OFFSET('Input data (2)'!AV$126,'Input data (2)'!$BL$1-$D31,0),IF(AND('Input data (2)'!$C$2=3,$C31&gt;=0),OFFSET('Input data (2)'!AV$126,'Input data (2)'!$BL$1-$C31,0),IF(AND('Input data (2)'!$C$2=2,$B31&gt;=0),OFFSET('Input data (2)'!AV$126,'Input data (2)'!$BL$1-$B31,0),IF(AND('Input data (2)'!$C$2=1,$A31&gt;=0),OFFSET('Input data (2)'!AV$126,'Input data (2)'!$BL$1-$A31,0),""))))</f>
        <v>0</v>
      </c>
      <c r="BL48" s="1">
        <f ca="1">IF(AND('Input data (2)'!$C$2=4,$D31&gt;=0),OFFSET('Input data (2)'!AW$126,'Input data (2)'!$BL$1-$D31,0),IF(AND('Input data (2)'!$C$2=3,$C31&gt;=0),OFFSET('Input data (2)'!AW$126,'Input data (2)'!$BL$1-$C31,0),IF(AND('Input data (2)'!$C$2=2,$B31&gt;=0),OFFSET('Input data (2)'!AW$126,'Input data (2)'!$BL$1-$B31,0),IF(AND('Input data (2)'!$C$2=1,$A31&gt;=0),OFFSET('Input data (2)'!AW$126,'Input data (2)'!$BL$1-$A31,0),""))))</f>
        <v>23</v>
      </c>
      <c r="BM48" s="1">
        <f ca="1">IF(AND('Input data (2)'!$C$2=4,$D31&gt;=0),OFFSET('Input data (2)'!AX$126,'Input data (2)'!$BL$1-$D31,0),IF(AND('Input data (2)'!$C$2=3,$C31&gt;=0),OFFSET('Input data (2)'!AX$126,'Input data (2)'!$BL$1-$C31,0),IF(AND('Input data (2)'!$C$2=2,$B31&gt;=0),OFFSET('Input data (2)'!AX$126,'Input data (2)'!$BL$1-$B31,0),IF(AND('Input data (2)'!$C$2=1,$A31&gt;=0),OFFSET('Input data (2)'!AX$126,'Input data (2)'!$BL$1-$A31,0),""))))</f>
        <v>2</v>
      </c>
      <c r="BO48" s="1">
        <f ca="1">IF(AND('Input data (2)'!$C$2=4,$D31&gt;=0),OFFSET('Input data (2)'!BL$126,'Input data (2)'!$BL$1-$D31,0),IF(AND('Input data (2)'!$C$2=3,$C31&gt;=0),OFFSET('Input data (2)'!BL$126,'Input data (2)'!$BL$1-$C31,0),IF(AND('Input data (2)'!$C$2=2,$B31&gt;=0),OFFSET('Input data (2)'!BL$126,'Input data (2)'!$BL$1-$B31,0),IF(AND('Input data (2)'!$C$2=1,$A31&gt;=0),OFFSET('Input data (2)'!BL$126,'Input data (2)'!$BL$1-$A31,0),""))))</f>
        <v>573</v>
      </c>
      <c r="BP48" s="1">
        <f ca="1">IF(AND('Input data (2)'!$C$2=4,$D31&gt;=0),OFFSET('Input data (2)'!BI$126,'Input data (2)'!$BL$1-$D31,0),IF(AND('Input data (2)'!$C$2=3,$C31&gt;=0),OFFSET('Input data (2)'!BI$126,'Input data (2)'!$BL$1-$C31,0),IF(AND('Input data (2)'!$C$2=2,$B31&gt;=0),OFFSET('Input data (2)'!BI$126,'Input data (2)'!$BL$1-$B31,0),IF(AND('Input data (2)'!$C$2=1,$A31&gt;=0),OFFSET('Input data (2)'!BI$126,'Input data (2)'!$BL$1-$A31,0),""))))</f>
        <v>381</v>
      </c>
      <c r="BQ48" s="1" t="str">
        <f ca="1">IF(AND('Input data (2)'!$C$2=4,$D31&gt;=0),OFFSET('Input data (2)'!BK$126,'Input data (2)'!$BL$1-$D31,0),IF(AND('Input data (2)'!$C$2=3,$C31&gt;=0),OFFSET('Input data (2)'!BK$126,'Input data (2)'!$BL$1-$C31,0),IF(AND('Input data (2)'!$C$2=2,$B31&gt;=0),OFFSET('Input data (2)'!BK$126,'Input data (2)'!$BL$1-$B31,0),IF(AND('Input data (2)'!$C$2=1,$A31&gt;=0),OFFSET('Input data (2)'!BK$126,'Input data (2)'!$BL$1-$A31,0),""))))</f>
        <v>..</v>
      </c>
      <c r="BR48" s="1">
        <f ca="1">IF(AND('Input data (2)'!$C$2=4,$D31&gt;=0),OFFSET('Input data (2)'!BJ$126,'Input data (2)'!$BL$1-$D31,0),IF(AND('Input data (2)'!$C$2=3,$C31&gt;=0),OFFSET('Input data (2)'!BJ$126,'Input data (2)'!$BL$1-$C31,0),IF(AND('Input data (2)'!$C$2=2,$B31&gt;=0),OFFSET('Input data (2)'!BJ$126,'Input data (2)'!$BL$1-$B31,0),IF(AND('Input data (2)'!$C$2=1,$A31&gt;=0),OFFSET('Input data (2)'!BJ$126,'Input data (2)'!$BL$1-$A31,0),""))))</f>
        <v>192</v>
      </c>
      <c r="BS48" s="1">
        <f ca="1">IF(AND('Input data (2)'!$C$2=4,$D31&gt;=0),OFFSET('Input data (2)'!BF$126,'Input data (2)'!$BL$1-$D31,0),IF(AND('Input data (2)'!$C$2=3,$C31&gt;=0),OFFSET('Input data (2)'!BF$126,'Input data (2)'!$BL$1-$C31,0),IF(AND('Input data (2)'!$C$2=2,$B31&gt;=0),OFFSET('Input data (2)'!BF$126,'Input data (2)'!$BL$1-$B31,0),IF(AND('Input data (2)'!$C$2=1,$A31&gt;=0),OFFSET('Input data (2)'!BF$126,'Input data (2)'!$BL$1-$A31,0),""))))</f>
        <v>74</v>
      </c>
      <c r="BT48" s="1">
        <f ca="1">IF(AND('Input data (2)'!$C$2=4,$D31&gt;=0),OFFSET('Input data (2)'!BD$126,'Input data (2)'!$BL$1-$D31,0),IF(AND('Input data (2)'!$C$2=3,$C31&gt;=0),OFFSET('Input data (2)'!BD$126,'Input data (2)'!$BL$1-$C31,0),IF(AND('Input data (2)'!$C$2=2,$B31&gt;=0),OFFSET('Input data (2)'!BD$126,'Input data (2)'!$BL$1-$B31,0),IF(AND('Input data (2)'!$C$2=1,$A31&gt;=0),OFFSET('Input data (2)'!BD$126,'Input data (2)'!$BL$1-$A31,0),""))))</f>
        <v>57</v>
      </c>
      <c r="BU48" s="1">
        <f ca="1">IF(AND('Input data (2)'!$C$2=4,$D31&gt;=0),OFFSET('Input data (2)'!BE$126,'Input data (2)'!$BL$1-$D31,0),IF(AND('Input data (2)'!$C$2=3,$C31&gt;=0),OFFSET('Input data (2)'!BE$126,'Input data (2)'!$BL$1-$C31,0),IF(AND('Input data (2)'!$C$2=2,$B31&gt;=0),OFFSET('Input data (2)'!BE$126,'Input data (2)'!$BL$1-$B31,0),IF(AND('Input data (2)'!$C$2=1,$A31&gt;=0),OFFSET('Input data (2)'!BE$126,'Input data (2)'!$BL$1-$A31,0),""))))</f>
        <v>17</v>
      </c>
      <c r="BW48" s="7">
        <f ca="1">IF(AND('Input data (2)'!$C$2=4,$D31&gt;=0),OFFSET('Input data (2)'!J$126,'Input data (2)'!$BL$1-$D31,0),IF(AND('Input data (2)'!$C$2=3,$C31&gt;=0),OFFSET('Input data (2)'!J$126,'Input data (2)'!$BL$1-$C31,0),IF(AND('Input data (2)'!$C$2=2,$B31&gt;=0),OFFSET('Input data (2)'!J$126,'Input data (2)'!$BL$1-$B31,0),IF(AND('Input data (2)'!$C$2=1,$A31&gt;=0),OFFSET('Input data (2)'!J$126,'Input data (2)'!$BL$1-$A31,0),""))))</f>
        <v>0.94561621364071879</v>
      </c>
      <c r="BX48" s="7">
        <f ca="1">IF(AND('Input data (2)'!$C$2=4,$D31&gt;=0),OFFSET('Input data (2)'!K$126,'Input data (2)'!$BL$1-$D31,0),IF(AND('Input data (2)'!$C$2=3,$C31&gt;=0),OFFSET('Input data (2)'!K$126,'Input data (2)'!$BL$1-$C31,0),IF(AND('Input data (2)'!$C$2=2,$B31&gt;=0),OFFSET('Input data (2)'!K$126,'Input data (2)'!$BL$1-$B31,0),IF(AND('Input data (2)'!$C$2=1,$A31&gt;=0),OFFSET('Input data (2)'!K$126,'Input data (2)'!$BL$1-$A31,0),""))))</f>
        <v>0.822482825160051</v>
      </c>
      <c r="BY48" s="7">
        <f ca="1">IF(AND('Input data (2)'!$C$2=4,$D31&gt;=0),OFFSET('Input data (2)'!AS$126,'Input data (2)'!$BL$1-$D31,0),IF(AND('Input data (2)'!$C$2=3,$C31&gt;=0),OFFSET('Input data (2)'!AS$126,'Input data (2)'!$BL$1-$C31,0),IF(AND('Input data (2)'!$C$2=2,$B31&gt;=0),OFFSET('Input data (2)'!AS$126,'Input data (2)'!$BL$1-$B31,0),IF(AND('Input data (2)'!$C$2=1,$A31&gt;=0),OFFSET('Input data (2)'!AS$126,'Input data (2)'!$BL$1-$A31,0),""))))</f>
        <v>0.44744471906051936</v>
      </c>
      <c r="BZ48" s="7">
        <f ca="1">IF(AND('Input data (2)'!$C$2=4,$D31&gt;=0),OFFSET('Input data (2)'!AT$126,'Input data (2)'!$BL$1-$D31,0),IF(AND('Input data (2)'!$C$2=3,$C31&gt;=0),OFFSET('Input data (2)'!AT$126,'Input data (2)'!$BL$1-$C31,0),IF(AND('Input data (2)'!$C$2=2,$B31&gt;=0),OFFSET('Input data (2)'!AT$126,'Input data (2)'!$BL$1-$B31,0),IF(AND('Input data (2)'!$C$2=1,$A31&gt;=0),OFFSET('Input data (2)'!AT$126,'Input data (2)'!$BL$1-$A31,0),""))))</f>
        <v>0.39835066454303925</v>
      </c>
      <c r="CB48" s="122"/>
      <c r="CC48" s="122"/>
      <c r="CD48" s="122"/>
      <c r="CE48" s="122"/>
      <c r="CK48" s="1"/>
      <c r="CL48" s="1"/>
      <c r="CM48" s="1"/>
      <c r="CN48" s="1"/>
      <c r="CO48" s="1"/>
      <c r="CP48" s="1"/>
    </row>
    <row r="49" spans="5:94" x14ac:dyDescent="0.15">
      <c r="CK49" s="1"/>
      <c r="CL49" s="1"/>
      <c r="CM49" s="1"/>
      <c r="CN49" s="1"/>
      <c r="CO49" s="1"/>
      <c r="CP49" s="1"/>
    </row>
    <row r="50" spans="5:94" x14ac:dyDescent="0.15">
      <c r="E50" s="1" t="str">
        <f>F50&amp;G50</f>
        <v>2010Q1</v>
      </c>
      <c r="F50" s="1">
        <f>F45+1</f>
        <v>2010</v>
      </c>
      <c r="G50" s="1" t="s">
        <v>1</v>
      </c>
      <c r="H50" s="1">
        <f>VLOOKUP($E50,'Input data (2)'!$A:$BL,'Output data - DO NOT TOUCH (2)'!H$71,FALSE)</f>
        <v>4196</v>
      </c>
      <c r="I50" s="1">
        <f>VLOOKUP($E50,'Input data (2)'!$A:$BL,'Output data - DO NOT TOUCH (2)'!I$71,FALSE)</f>
        <v>1330</v>
      </c>
      <c r="J50" s="1">
        <f>VLOOKUP($E50,'Input data (2)'!$A:$BL,'Output data - DO NOT TOUCH (2)'!J$71,FALSE)</f>
        <v>2866</v>
      </c>
      <c r="K50" s="1">
        <f>VLOOKUP($E50,'Input data (2)'!$A:$BL,'Output data - DO NOT TOUCH (2)'!K$71,FALSE)</f>
        <v>4014</v>
      </c>
      <c r="L50" s="1">
        <f>VLOOKUP($E50,'Input data (2)'!$A:$BL,'Output data - DO NOT TOUCH (2)'!L$71,FALSE)</f>
        <v>1301</v>
      </c>
      <c r="M50" s="1">
        <f>VLOOKUP($E50,'Input data (2)'!$A:$BL,'Output data - DO NOT TOUCH (2)'!M$71,FALSE)</f>
        <v>2713</v>
      </c>
      <c r="O50" s="119">
        <f ca="1">IF(AND('Input data (2)'!$C$2=4,$D32&gt;=0),OFFSET('Input data (2)'!O$126,'Input data (2)'!$BL$1-$D32,0),IF(AND('Input data (2)'!$C$2=3,$C32&gt;=0),OFFSET('Input data (2)'!O$126,'Input data (2)'!$BL$1-$C32,0),IF(AND('Input data (2)'!$C$2=2,$B32&gt;=0),OFFSET('Input data (2)'!O$126,'Input data (2)'!$BL$1-$B32,0),IF(AND('Input data (2)'!$C$2=1,$A32&gt;=0),OFFSET('Input data (2)'!O$126,'Input data (2)'!$BL$1-$A32,0),""))))</f>
        <v>469</v>
      </c>
      <c r="Q50" s="1">
        <f ca="1">IF(AND('Input data (2)'!$C$2=4,$D32&gt;=0),OFFSET('Input data (2)'!AC$126,'Input data (2)'!$BL$1-$D32,0),IF(AND('Input data (2)'!$C$2=3,$C32&gt;=0),OFFSET('Input data (2)'!AC$126,'Input data (2)'!$BL$1-$C32,0),IF(AND('Input data (2)'!$C$2=2,$B32&gt;=0),OFFSET('Input data (2)'!AC$126,'Input data (2)'!$BL$1-$B32,0),IF(AND('Input data (2)'!$C$2=1,$A32&gt;=0),OFFSET('Input data (2)'!AC$126,'Input data (2)'!$BL$1-$A32,0),""))))</f>
        <v>35682</v>
      </c>
      <c r="R50" s="1">
        <f ca="1">IF(AND('Input data (2)'!$C$2=4,$D32&gt;=0),OFFSET('Input data (2)'!Q$126,'Input data (2)'!$BL$1-$D32,0),IF(AND('Input data (2)'!$C$2=3,$C32&gt;=0),OFFSET('Input data (2)'!Q$126,'Input data (2)'!$BL$1-$C32,0),IF(AND('Input data (2)'!$C$2=2,$B32&gt;=0),OFFSET('Input data (2)'!Q$126,'Input data (2)'!$BL$1-$B32,0),IF(AND('Input data (2)'!$C$2=1,$A32&gt;=0),OFFSET('Input data (2)'!Q$126,'Input data (2)'!$BL$1-$A32,0),""))))</f>
        <v>18256</v>
      </c>
      <c r="S50" s="1">
        <f ca="1">IF(AND('Input data (2)'!$C$2=4,$D32&gt;=0),OFFSET('Input data (2)'!R$126,'Input data (2)'!$BL$1-$D32,0),IF(AND('Input data (2)'!$C$2=3,$C32&gt;=0),OFFSET('Input data (2)'!R$126,'Input data (2)'!$BL$1-$C32,0),IF(AND('Input data (2)'!$C$2=2,$B32&gt;=0),OFFSET('Input data (2)'!R$126,'Input data (2)'!$BL$1-$B32,0),IF(AND('Input data (2)'!$C$2=1,$A32&gt;=0),OFFSET('Input data (2)'!R$126,'Input data (2)'!$BL$1-$A32,0),""))))</f>
        <v>5644</v>
      </c>
      <c r="T50" s="1">
        <f ca="1">IF(AND('Input data (2)'!$C$2=4,$D32&gt;=0),OFFSET('Input data (2)'!AA$126,'Input data (2)'!$BL$1-$D32,0),IF(AND('Input data (2)'!$C$2=3,$C32&gt;=0),OFFSET('Input data (2)'!AA$126,'Input data (2)'!$BL$1-$C32,0),IF(AND('Input data (2)'!$C$2=2,$B32&gt;=0),OFFSET('Input data (2)'!AA$126,'Input data (2)'!$BL$1-$B32,0),IF(AND('Input data (2)'!$C$2=1,$A32&gt;=0),OFFSET('Input data (2)'!AA$126,'Input data (2)'!$BL$1-$A32,0),""))))</f>
        <v>11782</v>
      </c>
      <c r="U50" s="1" t="str">
        <f ca="1">IF(AND('Input data (2)'!$C$2=4,$D32&gt;=0),OFFSET('Input data (2)'!AL$126,'Input data (2)'!$BL$1-$D32,0),IF(AND('Input data (2)'!$C$2=3,$C32&gt;=0),OFFSET('Input data (2)'!AL$126,'Input data (2)'!$BL$1-$C32,0),IF(AND('Input data (2)'!$C$2=2,$B32&gt;=0),OFFSET('Input data (2)'!AL$126,'Input data (2)'!$BL$1-$B32,0),IF(AND('Input data (2)'!$C$2=1,$A32&gt;=0),OFFSET('Input data (2)'!AL$126,'Input data (2)'!$BL$1-$A32,0),""))))</f>
        <v>:</v>
      </c>
      <c r="V50" s="1">
        <f ca="1">IF(AND('Input data (2)'!$C$2=4,$D32&gt;=0),OFFSET('Input data (2)'!AJ$126,'Input data (2)'!$BL$1-$D32,0),IF(AND('Input data (2)'!$C$2=3,$C32&gt;=0),OFFSET('Input data (2)'!AJ$126,'Input data (2)'!$BL$1-$C32,0),IF(AND('Input data (2)'!$C$2=2,$B32&gt;=0),OFFSET('Input data (2)'!AJ$126,'Input data (2)'!$BL$1-$B32,0),IF(AND('Input data (2)'!$C$2=1,$A32&gt;=0),OFFSET('Input data (2)'!AJ$126,'Input data (2)'!$BL$1-$A32,0),""))))</f>
        <v>17058</v>
      </c>
      <c r="W50" s="1">
        <f ca="1">IF(AND('Input data (2)'!$C$2=4,$D32&gt;=0),OFFSET('Input data (2)'!AK$126,'Input data (2)'!$BL$1-$D32,0),IF(AND('Input data (2)'!$C$2=3,$C32&gt;=0),OFFSET('Input data (2)'!AK$126,'Input data (2)'!$BL$1-$C32,0),IF(AND('Input data (2)'!$C$2=2,$B32&gt;=0),OFFSET('Input data (2)'!AK$126,'Input data (2)'!$BL$1-$B32,0),IF(AND('Input data (2)'!$C$2=1,$A32&gt;=0),OFFSET('Input data (2)'!AK$126,'Input data (2)'!$BL$1-$A32,0),""))))</f>
        <v>12754</v>
      </c>
      <c r="Y50" s="1">
        <f ca="1">IF(AND('Input data (2)'!$C$2=4,$D32&gt;=0),OFFSET('Input data (2)'!Q$126,'Input data (2)'!$BL$1-$D32,0),IF(AND('Input data (2)'!$C$2=3,$C32&gt;=0),OFFSET('Input data (2)'!Q$126,'Input data (2)'!$BL$1-$C32,0),IF(AND('Input data (2)'!$C$2=2,$B32&gt;=0),OFFSET('Input data (2)'!Q$126,'Input data (2)'!$BL$1-$B32,0),IF(AND('Input data (2)'!$C$2=1,$A32&gt;=0),OFFSET('Input data (2)'!Q$126,'Input data (2)'!$BL$1-$A32,0),""))))</f>
        <v>18256</v>
      </c>
      <c r="Z50" s="1">
        <f ca="1">IF(AND('Input data (2)'!$C$2=4,$D32&gt;=0),OFFSET('Input data (2)'!S$126,'Input data (2)'!$BL$1-$D32,0),IF(AND('Input data (2)'!$C$2=3,$C32&gt;=0),OFFSET('Input data (2)'!S$126,'Input data (2)'!$BL$1-$C32,0),IF(AND('Input data (2)'!$C$2=2,$B32&gt;=0),OFFSET('Input data (2)'!S$126,'Input data (2)'!$BL$1-$B32,0),IF(AND('Input data (2)'!$C$2=1,$A32&gt;=0),OFFSET('Input data (2)'!S$126,'Input data (2)'!$BL$1-$A32,0),""))))</f>
        <v>15783</v>
      </c>
      <c r="AA50" s="1">
        <f ca="1">IF(AND('Input data (2)'!$C$2=4,$D32&gt;=0),OFFSET('Input data (2)'!T$126,'Input data (2)'!$BL$1-$D32,0),IF(AND('Input data (2)'!$C$2=3,$C32&gt;=0),OFFSET('Input data (2)'!T$126,'Input data (2)'!$BL$1-$C32,0),IF(AND('Input data (2)'!$C$2=2,$B32&gt;=0),OFFSET('Input data (2)'!T$126,'Input data (2)'!$BL$1-$B32,0),IF(AND('Input data (2)'!$C$2=1,$A32&gt;=0),OFFSET('Input data (2)'!T$126,'Input data (2)'!$BL$1-$A32,0),""))))</f>
        <v>86.453768624014032</v>
      </c>
      <c r="AB50" s="1">
        <f ca="1">IF(AND('Input data (2)'!$C$2=4,$D32&gt;=0),OFFSET('Input data (2)'!U$126,'Input data (2)'!$BL$1-$D32,0),IF(AND('Input data (2)'!$C$2=3,$C32&gt;=0),OFFSET('Input data (2)'!U$126,'Input data (2)'!$BL$1-$C32,0),IF(AND('Input data (2)'!$C$2=2,$B32&gt;=0),OFFSET('Input data (2)'!U$126,'Input data (2)'!$BL$1-$B32,0),IF(AND('Input data (2)'!$C$2=1,$A32&gt;=0),OFFSET('Input data (2)'!U$126,'Input data (2)'!$BL$1-$A32,0),""))))</f>
        <v>2473</v>
      </c>
      <c r="AC50" s="1">
        <f ca="1">IF(AND('Input data (2)'!$C$2=4,$D32&gt;=0),OFFSET('Input data (2)'!V$126,'Input data (2)'!$BL$1-$D32,0),IF(AND('Input data (2)'!$C$2=3,$C32&gt;=0),OFFSET('Input data (2)'!V$126,'Input data (2)'!$BL$1-$C32,0),IF(AND('Input data (2)'!$C$2=2,$B32&gt;=0),OFFSET('Input data (2)'!V$126,'Input data (2)'!$BL$1-$B32,0),IF(AND('Input data (2)'!$C$2=1,$A32&gt;=0),OFFSET('Input data (2)'!V$126,'Input data (2)'!$BL$1-$A32,0),""))))</f>
        <v>13.546231375985975</v>
      </c>
      <c r="AD50" s="1">
        <f ca="1">IF(AND('Input data (2)'!$C$2=4,$D32&gt;=0),OFFSET('Input data (2)'!Q$126,'Input data (2)'!$BL$1-$D32,0),IF(AND('Input data (2)'!$C$2=3,$C32&gt;=0),OFFSET('Input data (2)'!Q$126,'Input data (2)'!$BL$1-$C32,0),IF(AND('Input data (2)'!$C$2=2,$B32&gt;=0),OFFSET('Input data (2)'!Q$126,'Input data (2)'!$BL$1-$B32,0),IF(AND('Input data (2)'!$C$2=1,$A32&gt;=0),OFFSET('Input data (2)'!Q$126,'Input data (2)'!$BL$1-$A32,0),""))))</f>
        <v>18256</v>
      </c>
      <c r="AE50" s="1">
        <f ca="1">IF(AND('Input data (2)'!$C$2=4,$D32&gt;=0),OFFSET('Input data (2)'!W$126,'Input data (2)'!$BL$1-$D32,0),IF(AND('Input data (2)'!$C$2=3,$C32&gt;=0),OFFSET('Input data (2)'!W$126,'Input data (2)'!$BL$1-$C32,0),IF(AND('Input data (2)'!$C$2=2,$B32&gt;=0),OFFSET('Input data (2)'!W$126,'Input data (2)'!$BL$1-$B32,0),IF(AND('Input data (2)'!$C$2=1,$A32&gt;=0),OFFSET('Input data (2)'!W$126,'Input data (2)'!$BL$1-$A32,0),""))))</f>
        <v>2321</v>
      </c>
      <c r="AF50" s="1">
        <f ca="1">IF(AND('Input data (2)'!$C$2=4,$D32&gt;=0),OFFSET('Input data (2)'!X$126,'Input data (2)'!$BL$1-$D32,0),IF(AND('Input data (2)'!$C$2=3,$C32&gt;=0),OFFSET('Input data (2)'!X$126,'Input data (2)'!$BL$1-$C32,0),IF(AND('Input data (2)'!$C$2=2,$B32&gt;=0),OFFSET('Input data (2)'!X$126,'Input data (2)'!$BL$1-$B32,0),IF(AND('Input data (2)'!$C$2=1,$A32&gt;=0),OFFSET('Input data (2)'!X$126,'Input data (2)'!$BL$1-$A32,0),""))))</f>
        <v>12.713628396143733</v>
      </c>
      <c r="AG50" s="1">
        <f ca="1">IF(AND('Input data (2)'!$C$2=4,$D32&gt;=0),OFFSET('Input data (2)'!Y$126,'Input data (2)'!$BL$1-$D32,0),IF(AND('Input data (2)'!$C$2=3,$C32&gt;=0),OFFSET('Input data (2)'!Y$126,'Input data (2)'!$BL$1-$C32,0),IF(AND('Input data (2)'!$C$2=2,$B32&gt;=0),OFFSET('Input data (2)'!Y$126,'Input data (2)'!$BL$1-$B32,0),IF(AND('Input data (2)'!$C$2=1,$A32&gt;=0),OFFSET('Input data (2)'!Y$126,'Input data (2)'!$BL$1-$A32,0),""))))</f>
        <v>15935</v>
      </c>
      <c r="AH50" s="1">
        <f ca="1">IF(AND('Input data (2)'!$C$2=4,$D32&gt;=0),OFFSET('Input data (2)'!Z$126,'Input data (2)'!$BL$1-$D32,0),IF(AND('Input data (2)'!$C$2=3,$C32&gt;=0),OFFSET('Input data (2)'!Z$126,'Input data (2)'!$BL$1-$C32,0),IF(AND('Input data (2)'!$C$2=2,$B32&gt;=0),OFFSET('Input data (2)'!Z$126,'Input data (2)'!$BL$1-$B32,0),IF(AND('Input data (2)'!$C$2=1,$A32&gt;=0),OFFSET('Input data (2)'!Z$126,'Input data (2)'!$BL$1-$A32,0),""))))</f>
        <v>87.286371603856267</v>
      </c>
      <c r="AI50" s="3"/>
      <c r="AJ50" s="124">
        <f ca="1">IF(AND('Input data (2)'!$C$2=4,$D32&gt;=0),OFFSET('Input data (2)'!AF$126,'Input data (2)'!$BL$1-$D32,0),IF(AND('Input data (2)'!$C$2=3,$C32&gt;=0),OFFSET('Input data (2)'!AF$126,'Input data (2)'!$BL$1-$C32,0),IF(AND('Input data (2)'!$C$2=2,$B32&gt;=0),OFFSET('Input data (2)'!AF$126,'Input data (2)'!$BL$1-$B32,0),IF(AND('Input data (2)'!$C$2=1,$A32&gt;=0),OFFSET('Input data (2)'!AF$126,'Input data (2)'!$BL$1-$A32,0),""))))</f>
        <v>2750</v>
      </c>
      <c r="AK50" s="124">
        <f ca="1">IF(AND('Input data (2)'!$C$2=4,$D32&gt;=0),OFFSET('Input data (2)'!AD$126,'Input data (2)'!$BL$1-$D32,0),IF(AND('Input data (2)'!$C$2=3,$C32&gt;=0),OFFSET('Input data (2)'!AD$126,'Input data (2)'!$BL$1-$C32,0),IF(AND('Input data (2)'!$C$2=2,$B32&gt;=0),OFFSET('Input data (2)'!AD$126,'Input data (2)'!$BL$1-$B32,0),IF(AND('Input data (2)'!$C$2=1,$A32&gt;=0),OFFSET('Input data (2)'!AD$126,'Input data (2)'!$BL$1-$A32,0),""))))</f>
        <v>14</v>
      </c>
      <c r="AL50" s="124">
        <f ca="1">IF(AND('Input data (2)'!$C$2=4,$D32&gt;=0),OFFSET('Input data (2)'!AE$126,'Input data (2)'!$BL$1-$D32,0),IF(AND('Input data (2)'!$C$2=3,$C32&gt;=0),OFFSET('Input data (2)'!AE$126,'Input data (2)'!$BL$1-$C32,0),IF(AND('Input data (2)'!$C$2=2,$B32&gt;=0),OFFSET('Input data (2)'!AE$126,'Input data (2)'!$BL$1-$B32,0),IF(AND('Input data (2)'!$C$2=1,$A32&gt;=0),OFFSET('Input data (2)'!AE$126,'Input data (2)'!$BL$1-$A32,0),""))))</f>
        <v>2736</v>
      </c>
      <c r="AW50" s="1">
        <f ca="1">IF(AND('Input data (2)'!$C$2=4,$D32&gt;=0),OFFSET('Input data (2)'!L$126,'Input data (2)'!$BL$1-$D32,0),IF(AND('Input data (2)'!$C$2=3,$C32&gt;=0),OFFSET('Input data (2)'!L$126,'Input data (2)'!$BL$1-$C32,0),IF(AND('Input data (2)'!$C$2=2,$B32&gt;=0),OFFSET('Input data (2)'!L$126,'Input data (2)'!$BL$1-$B32,0),IF(AND('Input data (2)'!$C$2=1,$A32&gt;=0),OFFSET('Input data (2)'!L$126,'Input data (2)'!$BL$1-$A32,0),""))))</f>
        <v>356</v>
      </c>
      <c r="AX50" s="1">
        <f ca="1">IF(AND('Input data (2)'!$C$2=4,$D32&gt;=0),OFFSET('Input data (2)'!M$126,'Input data (2)'!$BL$1-$D32,0),IF(AND('Input data (2)'!$C$2=3,$C32&gt;=0),OFFSET('Input data (2)'!M$126,'Input data (2)'!$BL$1-$C32,0),IF(AND('Input data (2)'!$C$2=2,$B32&gt;=0),OFFSET('Input data (2)'!M$126,'Input data (2)'!$BL$1-$B32,0),IF(AND('Input data (2)'!$C$2=1,$A32&gt;=0),OFFSET('Input data (2)'!M$126,'Input data (2)'!$BL$1-$A32,0),""))))</f>
        <v>4</v>
      </c>
      <c r="AY50" s="1">
        <f ca="1">IF(AND('Input data (2)'!$C$2=4,$D32&gt;=0),OFFSET('Input data (2)'!N$126,'Input data (2)'!$BL$1-$D32,0),IF(AND('Input data (2)'!$C$2=3,$C32&gt;=0),OFFSET('Input data (2)'!N$126,'Input data (2)'!$BL$1-$C32,0),IF(AND('Input data (2)'!$C$2=2,$B32&gt;=0),OFFSET('Input data (2)'!N$126,'Input data (2)'!$BL$1-$B32,0),IF(AND('Input data (2)'!$C$2=1,$A32&gt;=0),OFFSET('Input data (2)'!N$126,'Input data (2)'!$BL$1-$A32,0),""))))</f>
        <v>779</v>
      </c>
      <c r="AZ50" s="1">
        <f ca="1">IF(AND('Input data (2)'!$C$2=4,$D32&gt;=0),OFFSET('Input data (2)'!P$126,'Input data (2)'!$BL$1-$D32,0),IF(AND('Input data (2)'!$C$2=3,$C32&gt;=0),OFFSET('Input data (2)'!P$126,'Input data (2)'!$BL$1-$C32,0),IF(AND('Input data (2)'!$C$2=2,$B32&gt;=0),OFFSET('Input data (2)'!P$126,'Input data (2)'!$BL$1-$B32,0),IF(AND('Input data (2)'!$C$2=1,$A32&gt;=0),OFFSET('Input data (2)'!P$126,'Input data (2)'!$BL$1-$A32,0),""))))</f>
        <v>204</v>
      </c>
      <c r="BB50" s="1">
        <f ca="1">IF(AND('Input data (2)'!$C$2=4,$D32&gt;=0),OFFSET('Input data (2)'!BB$126,'Input data (2)'!$BL$1-$D32,0),IF(AND('Input data (2)'!$C$2=3,$C32&gt;=0),OFFSET('Input data (2)'!BB$126,'Input data (2)'!$BL$1-$C32,0),IF(AND('Input data (2)'!$C$2=2,$B32&gt;=0),OFFSET('Input data (2)'!BB$126,'Input data (2)'!$BL$1-$B32,0),IF(AND('Input data (2)'!$C$2=1,$A32&gt;=0),OFFSET('Input data (2)'!BB$126,'Input data (2)'!$BL$1-$A32,0),""))))</f>
        <v>5200</v>
      </c>
      <c r="BC50" s="1">
        <f ca="1">IF(AND('Input data (2)'!$C$2=4,$D32&gt;=0),OFFSET('Input data (2)'!AY$126,'Input data (2)'!$BL$1-$D32,0),IF(AND('Input data (2)'!$C$2=3,$C32&gt;=0),OFFSET('Input data (2)'!AY$126,'Input data (2)'!$BL$1-$C32,0),IF(AND('Input data (2)'!$C$2=2,$B32&gt;=0),OFFSET('Input data (2)'!AY$126,'Input data (2)'!$BL$1-$B32,0),IF(AND('Input data (2)'!$C$2=1,$A32&gt;=0),OFFSET('Input data (2)'!AY$126,'Input data (2)'!$BL$1-$A32,0),""))))</f>
        <v>3167</v>
      </c>
      <c r="BD50" s="1">
        <f ca="1">IF(AND('Input data (2)'!$C$2=4,$D32&gt;=0),OFFSET('Input data (2)'!AZ$126,'Input data (2)'!$BL$1-$D32,0),IF(AND('Input data (2)'!$C$2=3,$C32&gt;=0),OFFSET('Input data (2)'!AZ$126,'Input data (2)'!$BL$1-$C32,0),IF(AND('Input data (2)'!$C$2=2,$B32&gt;=0),OFFSET('Input data (2)'!AZ$126,'Input data (2)'!$BL$1-$B32,0),IF(AND('Input data (2)'!$C$2=1,$A32&gt;=0),OFFSET('Input data (2)'!AZ$126,'Input data (2)'!$BL$1-$A32,0),""))))</f>
        <v>1905</v>
      </c>
      <c r="BE50" s="1">
        <f ca="1">IF(AND('Input data (2)'!$C$2=4,$D32&gt;=0),OFFSET('Input data (2)'!BA$126,'Input data (2)'!$BL$1-$D32,0),IF(AND('Input data (2)'!$C$2=3,$C32&gt;=0),OFFSET('Input data (2)'!BA$126,'Input data (2)'!$BL$1-$C32,0),IF(AND('Input data (2)'!$C$2=2,$B32&gt;=0),OFFSET('Input data (2)'!BA$126,'Input data (2)'!$BL$1-$B32,0),IF(AND('Input data (2)'!$C$2=1,$A32&gt;=0),OFFSET('Input data (2)'!BA$126,'Input data (2)'!$BL$1-$A32,0),""))))</f>
        <v>2033</v>
      </c>
      <c r="BF50" s="1">
        <f ca="1">IF(AND('Input data (2)'!$C$2=4,$D32&gt;=0),OFFSET('Input data (2)'!AP$126,'Input data (2)'!$BL$1-$D32,0),IF(AND('Input data (2)'!$C$2=3,$C32&gt;=0),OFFSET('Input data (2)'!AP$126,'Input data (2)'!$BL$1-$C32,0),IF(AND('Input data (2)'!$C$2=2,$B32&gt;=0),OFFSET('Input data (2)'!AP$126,'Input data (2)'!$BL$1-$B32,0),IF(AND('Input data (2)'!$C$2=1,$A32&gt;=0),OFFSET('Input data (2)'!AP$126,'Input data (2)'!$BL$1-$A32,0),""))))</f>
        <v>275</v>
      </c>
      <c r="BG50" s="1">
        <f ca="1">IF(AND('Input data (2)'!$C$2=4,$D32&gt;=0),OFFSET('Input data (2)'!AN$126,'Input data (2)'!$BL$1-$D32,0),IF(AND('Input data (2)'!$C$2=3,$C32&gt;=0),OFFSET('Input data (2)'!AN$126,'Input data (2)'!$BL$1-$C32,0),IF(AND('Input data (2)'!$C$2=2,$B32&gt;=0),OFFSET('Input data (2)'!AN$126,'Input data (2)'!$BL$1-$B32,0),IF(AND('Input data (2)'!$C$2=1,$A32&gt;=0),OFFSET('Input data (2)'!AN$126,'Input data (2)'!$BL$1-$A32,0),""))))</f>
        <v>202</v>
      </c>
      <c r="BH50" s="1">
        <f ca="1">IF(AND('Input data (2)'!$C$2=4,$D32&gt;=0),OFFSET('Input data (2)'!AO$126,'Input data (2)'!$BL$1-$D32,0),IF(AND('Input data (2)'!$C$2=3,$C32&gt;=0),OFFSET('Input data (2)'!AO$126,'Input data (2)'!$BL$1-$C32,0),IF(AND('Input data (2)'!$C$2=2,$B32&gt;=0),OFFSET('Input data (2)'!AO$126,'Input data (2)'!$BL$1-$B32,0),IF(AND('Input data (2)'!$C$2=1,$A32&gt;=0),OFFSET('Input data (2)'!AO$126,'Input data (2)'!$BL$1-$A32,0),""))))</f>
        <v>73</v>
      </c>
      <c r="BJ50" s="1">
        <f ca="1">IF(AND('Input data (2)'!$C$2=4,$D32&gt;=0),OFFSET('Input data (2)'!AU$126,'Input data (2)'!$BL$1-$D32,0),IF(AND('Input data (2)'!$C$2=3,$C32&gt;=0),OFFSET('Input data (2)'!AU$126,'Input data (2)'!$BL$1-$C32,0),IF(AND('Input data (2)'!$C$2=2,$B32&gt;=0),OFFSET('Input data (2)'!AU$126,'Input data (2)'!$BL$1-$B32,0),IF(AND('Input data (2)'!$C$2=1,$A32&gt;=0),OFFSET('Input data (2)'!AU$126,'Input data (2)'!$BL$1-$A32,0),""))))</f>
        <v>6</v>
      </c>
      <c r="BK50" s="1">
        <f ca="1">IF(AND('Input data (2)'!$C$2=4,$D32&gt;=0),OFFSET('Input data (2)'!AV$126,'Input data (2)'!$BL$1-$D32,0),IF(AND('Input data (2)'!$C$2=3,$C32&gt;=0),OFFSET('Input data (2)'!AV$126,'Input data (2)'!$BL$1-$C32,0),IF(AND('Input data (2)'!$C$2=2,$B32&gt;=0),OFFSET('Input data (2)'!AV$126,'Input data (2)'!$BL$1-$B32,0),IF(AND('Input data (2)'!$C$2=1,$A32&gt;=0),OFFSET('Input data (2)'!AV$126,'Input data (2)'!$BL$1-$A32,0),""))))</f>
        <v>0</v>
      </c>
      <c r="BL50" s="1">
        <f ca="1">IF(AND('Input data (2)'!$C$2=4,$D32&gt;=0),OFFSET('Input data (2)'!AW$126,'Input data (2)'!$BL$1-$D32,0),IF(AND('Input data (2)'!$C$2=3,$C32&gt;=0),OFFSET('Input data (2)'!AW$126,'Input data (2)'!$BL$1-$C32,0),IF(AND('Input data (2)'!$C$2=2,$B32&gt;=0),OFFSET('Input data (2)'!AW$126,'Input data (2)'!$BL$1-$B32,0),IF(AND('Input data (2)'!$C$2=1,$A32&gt;=0),OFFSET('Input data (2)'!AW$126,'Input data (2)'!$BL$1-$A32,0),""))))</f>
        <v>92</v>
      </c>
      <c r="BM50" s="1">
        <f ca="1">IF(AND('Input data (2)'!$C$2=4,$D32&gt;=0),OFFSET('Input data (2)'!AX$126,'Input data (2)'!$BL$1-$D32,0),IF(AND('Input data (2)'!$C$2=3,$C32&gt;=0),OFFSET('Input data (2)'!AX$126,'Input data (2)'!$BL$1-$C32,0),IF(AND('Input data (2)'!$C$2=2,$B32&gt;=0),OFFSET('Input data (2)'!AX$126,'Input data (2)'!$BL$1-$B32,0),IF(AND('Input data (2)'!$C$2=1,$A32&gt;=0),OFFSET('Input data (2)'!AX$126,'Input data (2)'!$BL$1-$A32,0),""))))</f>
        <v>2</v>
      </c>
      <c r="BO50" s="1">
        <f ca="1">IF(AND('Input data (2)'!$C$2=4,$D32&gt;=0),OFFSET('Input data (2)'!BL$126,'Input data (2)'!$BL$1-$D32,0),IF(AND('Input data (2)'!$C$2=3,$C32&gt;=0),OFFSET('Input data (2)'!BL$126,'Input data (2)'!$BL$1-$C32,0),IF(AND('Input data (2)'!$C$2=2,$B32&gt;=0),OFFSET('Input data (2)'!BL$126,'Input data (2)'!$BL$1-$B32,0),IF(AND('Input data (2)'!$C$2=1,$A32&gt;=0),OFFSET('Input data (2)'!BL$126,'Input data (2)'!$BL$1-$A32,0),""))))</f>
        <v>554</v>
      </c>
      <c r="BP50" s="1">
        <f ca="1">IF(AND('Input data (2)'!$C$2=4,$D32&gt;=0),OFFSET('Input data (2)'!BI$126,'Input data (2)'!$BL$1-$D32,0),IF(AND('Input data (2)'!$C$2=3,$C32&gt;=0),OFFSET('Input data (2)'!BI$126,'Input data (2)'!$BL$1-$C32,0),IF(AND('Input data (2)'!$C$2=2,$B32&gt;=0),OFFSET('Input data (2)'!BI$126,'Input data (2)'!$BL$1-$B32,0),IF(AND('Input data (2)'!$C$2=1,$A32&gt;=0),OFFSET('Input data (2)'!BI$126,'Input data (2)'!$BL$1-$A32,0),""))))</f>
        <v>316</v>
      </c>
      <c r="BQ50" s="1" t="str">
        <f ca="1">IF(AND('Input data (2)'!$C$2=4,$D32&gt;=0),OFFSET('Input data (2)'!BK$126,'Input data (2)'!$BL$1-$D32,0),IF(AND('Input data (2)'!$C$2=3,$C32&gt;=0),OFFSET('Input data (2)'!BK$126,'Input data (2)'!$BL$1-$C32,0),IF(AND('Input data (2)'!$C$2=2,$B32&gt;=0),OFFSET('Input data (2)'!BK$126,'Input data (2)'!$BL$1-$B32,0),IF(AND('Input data (2)'!$C$2=1,$A32&gt;=0),OFFSET('Input data (2)'!BK$126,'Input data (2)'!$BL$1-$A32,0),""))))</f>
        <v>..</v>
      </c>
      <c r="BR50" s="1">
        <f ca="1">IF(AND('Input data (2)'!$C$2=4,$D32&gt;=0),OFFSET('Input data (2)'!BJ$126,'Input data (2)'!$BL$1-$D32,0),IF(AND('Input data (2)'!$C$2=3,$C32&gt;=0),OFFSET('Input data (2)'!BJ$126,'Input data (2)'!$BL$1-$C32,0),IF(AND('Input data (2)'!$C$2=2,$B32&gt;=0),OFFSET('Input data (2)'!BJ$126,'Input data (2)'!$BL$1-$B32,0),IF(AND('Input data (2)'!$C$2=1,$A32&gt;=0),OFFSET('Input data (2)'!BJ$126,'Input data (2)'!$BL$1-$A32,0),""))))</f>
        <v>238</v>
      </c>
      <c r="BS50" s="1">
        <f ca="1">IF(AND('Input data (2)'!$C$2=4,$D32&gt;=0),OFFSET('Input data (2)'!BF$126,'Input data (2)'!$BL$1-$D32,0),IF(AND('Input data (2)'!$C$2=3,$C32&gt;=0),OFFSET('Input data (2)'!BF$126,'Input data (2)'!$BL$1-$C32,0),IF(AND('Input data (2)'!$C$2=2,$B32&gt;=0),OFFSET('Input data (2)'!BF$126,'Input data (2)'!$BL$1-$B32,0),IF(AND('Input data (2)'!$C$2=1,$A32&gt;=0),OFFSET('Input data (2)'!BF$126,'Input data (2)'!$BL$1-$A32,0),""))))</f>
        <v>102</v>
      </c>
      <c r="BT50" s="1">
        <f ca="1">IF(AND('Input data (2)'!$C$2=4,$D32&gt;=0),OFFSET('Input data (2)'!BD$126,'Input data (2)'!$BL$1-$D32,0),IF(AND('Input data (2)'!$C$2=3,$C32&gt;=0),OFFSET('Input data (2)'!BD$126,'Input data (2)'!$BL$1-$C32,0),IF(AND('Input data (2)'!$C$2=2,$B32&gt;=0),OFFSET('Input data (2)'!BD$126,'Input data (2)'!$BL$1-$B32,0),IF(AND('Input data (2)'!$C$2=1,$A32&gt;=0),OFFSET('Input data (2)'!BD$126,'Input data (2)'!$BL$1-$A32,0),""))))</f>
        <v>49</v>
      </c>
      <c r="BU50" s="1">
        <f ca="1">IF(AND('Input data (2)'!$C$2=4,$D32&gt;=0),OFFSET('Input data (2)'!BE$126,'Input data (2)'!$BL$1-$D32,0),IF(AND('Input data (2)'!$C$2=3,$C32&gt;=0),OFFSET('Input data (2)'!BE$126,'Input data (2)'!$BL$1-$C32,0),IF(AND('Input data (2)'!$C$2=2,$B32&gt;=0),OFFSET('Input data (2)'!BE$126,'Input data (2)'!$BL$1-$B32,0),IF(AND('Input data (2)'!$C$2=1,$A32&gt;=0),OFFSET('Input data (2)'!BE$126,'Input data (2)'!$BL$1-$A32,0),""))))</f>
        <v>53</v>
      </c>
      <c r="BW50" s="7">
        <f ca="1">IF(AND('Input data (2)'!$C$2=4,$D32&gt;=0),OFFSET('Input data (2)'!J$126,'Input data (2)'!$BL$1-$D32,0),IF(AND('Input data (2)'!$C$2=3,$C32&gt;=0),OFFSET('Input data (2)'!J$126,'Input data (2)'!$BL$1-$C32,0),IF(AND('Input data (2)'!$C$2=2,$B32&gt;=0),OFFSET('Input data (2)'!J$126,'Input data (2)'!$BL$1-$B32,0),IF(AND('Input data (2)'!$C$2=1,$A32&gt;=0),OFFSET('Input data (2)'!J$126,'Input data (2)'!$BL$1-$A32,0),""))))</f>
        <v>0.90910694117403501</v>
      </c>
      <c r="BX50" s="7">
        <f ca="1">IF(AND('Input data (2)'!$C$2=4,$D32&gt;=0),OFFSET('Input data (2)'!K$126,'Input data (2)'!$BL$1-$D32,0),IF(AND('Input data (2)'!$C$2=3,$C32&gt;=0),OFFSET('Input data (2)'!K$126,'Input data (2)'!$BL$1-$C32,0),IF(AND('Input data (2)'!$C$2=2,$B32&gt;=0),OFFSET('Input data (2)'!K$126,'Input data (2)'!$BL$1-$B32,0),IF(AND('Input data (2)'!$C$2=1,$A32&gt;=0),OFFSET('Input data (2)'!K$126,'Input data (2)'!$BL$1-$A32,0),""))))</f>
        <v>0.80505898561386358</v>
      </c>
      <c r="BY50" s="7">
        <f ca="1">IF(AND('Input data (2)'!$C$2=4,$D32&gt;=0),OFFSET('Input data (2)'!AS$126,'Input data (2)'!$BL$1-$D32,0),IF(AND('Input data (2)'!$C$2=3,$C32&gt;=0),OFFSET('Input data (2)'!AS$126,'Input data (2)'!$BL$1-$C32,0),IF(AND('Input data (2)'!$C$2=2,$B32&gt;=0),OFFSET('Input data (2)'!AS$126,'Input data (2)'!$BL$1-$B32,0),IF(AND('Input data (2)'!$C$2=1,$A32&gt;=0),OFFSET('Input data (2)'!AS$126,'Input data (2)'!$BL$1-$A32,0),""))))</f>
        <v>0.53633139337948332</v>
      </c>
      <c r="BZ50" s="7">
        <f ca="1">IF(AND('Input data (2)'!$C$2=4,$D32&gt;=0),OFFSET('Input data (2)'!AT$126,'Input data (2)'!$BL$1-$D32,0),IF(AND('Input data (2)'!$C$2=3,$C32&gt;=0),OFFSET('Input data (2)'!AT$126,'Input data (2)'!$BL$1-$C32,0),IF(AND('Input data (2)'!$C$2=2,$B32&gt;=0),OFFSET('Input data (2)'!AT$126,'Input data (2)'!$BL$1-$B32,0),IF(AND('Input data (2)'!$C$2=1,$A32&gt;=0),OFFSET('Input data (2)'!AT$126,'Input data (2)'!$BL$1-$A32,0),""))))</f>
        <v>0.4763470053719841</v>
      </c>
      <c r="CB50" s="122"/>
      <c r="CC50" s="122"/>
      <c r="CD50" s="122"/>
      <c r="CE50" s="122"/>
      <c r="CK50" s="1"/>
      <c r="CL50" s="1"/>
      <c r="CM50" s="1"/>
      <c r="CN50" s="1"/>
      <c r="CO50" s="1"/>
      <c r="CP50" s="1"/>
    </row>
    <row r="51" spans="5:94" x14ac:dyDescent="0.15">
      <c r="E51" s="1" t="str">
        <f>F51&amp;G51</f>
        <v>2010Q2</v>
      </c>
      <c r="F51" s="1">
        <f>F46+1</f>
        <v>2010</v>
      </c>
      <c r="G51" s="1" t="s">
        <v>2</v>
      </c>
      <c r="H51" s="1">
        <f>VLOOKUP($E51,'Input data (2)'!$A:$BL,'Output data - DO NOT TOUCH (2)'!H$71,FALSE)</f>
        <v>4094</v>
      </c>
      <c r="I51" s="1">
        <f>VLOOKUP($E51,'Input data (2)'!$A:$BL,'Output data - DO NOT TOUCH (2)'!I$71,FALSE)</f>
        <v>1185</v>
      </c>
      <c r="J51" s="1">
        <f>VLOOKUP($E51,'Input data (2)'!$A:$BL,'Output data - DO NOT TOUCH (2)'!J$71,FALSE)</f>
        <v>2909</v>
      </c>
      <c r="K51" s="1">
        <f>VLOOKUP($E51,'Input data (2)'!$A:$BL,'Output data - DO NOT TOUCH (2)'!K$71,FALSE)</f>
        <v>4063</v>
      </c>
      <c r="L51" s="1">
        <f>VLOOKUP($E51,'Input data (2)'!$A:$BL,'Output data - DO NOT TOUCH (2)'!L$71,FALSE)</f>
        <v>1184</v>
      </c>
      <c r="M51" s="1">
        <f>VLOOKUP($E51,'Input data (2)'!$A:$BL,'Output data - DO NOT TOUCH (2)'!M$71,FALSE)</f>
        <v>2879</v>
      </c>
      <c r="O51" s="119">
        <f ca="1">IF(AND('Input data (2)'!$C$2=4,$D33&gt;=0),OFFSET('Input data (2)'!O$126,'Input data (2)'!$BL$1-$D33,0),IF(AND('Input data (2)'!$C$2=3,$C33&gt;=0),OFFSET('Input data (2)'!O$126,'Input data (2)'!$BL$1-$C33,0),IF(AND('Input data (2)'!$C$2=2,$B33&gt;=0),OFFSET('Input data (2)'!O$126,'Input data (2)'!$BL$1-$B33,0),IF(AND('Input data (2)'!$C$2=1,$A33&gt;=0),OFFSET('Input data (2)'!O$126,'Input data (2)'!$BL$1-$A33,0),""))))</f>
        <v>399</v>
      </c>
      <c r="Q51" s="1">
        <f ca="1">IF(AND('Input data (2)'!$C$2=4,$D33&gt;=0),OFFSET('Input data (2)'!AC$126,'Input data (2)'!$BL$1-$D33,0),IF(AND('Input data (2)'!$C$2=3,$C33&gt;=0),OFFSET('Input data (2)'!AC$126,'Input data (2)'!$BL$1-$C33,0),IF(AND('Input data (2)'!$C$2=2,$B33&gt;=0),OFFSET('Input data (2)'!AC$126,'Input data (2)'!$BL$1-$B33,0),IF(AND('Input data (2)'!$C$2=1,$A33&gt;=0),OFFSET('Input data (2)'!AC$126,'Input data (2)'!$BL$1-$A33,0),""))))</f>
        <v>34743</v>
      </c>
      <c r="R51" s="1">
        <f ca="1">IF(AND('Input data (2)'!$C$2=4,$D33&gt;=0),OFFSET('Input data (2)'!Q$126,'Input data (2)'!$BL$1-$D33,0),IF(AND('Input data (2)'!$C$2=3,$C33&gt;=0),OFFSET('Input data (2)'!Q$126,'Input data (2)'!$BL$1-$C33,0),IF(AND('Input data (2)'!$C$2=2,$B33&gt;=0),OFFSET('Input data (2)'!Q$126,'Input data (2)'!$BL$1-$B33,0),IF(AND('Input data (2)'!$C$2=1,$A33&gt;=0),OFFSET('Input data (2)'!Q$126,'Input data (2)'!$BL$1-$A33,0),""))))</f>
        <v>14982</v>
      </c>
      <c r="S51" s="1">
        <f ca="1">IF(AND('Input data (2)'!$C$2=4,$D33&gt;=0),OFFSET('Input data (2)'!R$126,'Input data (2)'!$BL$1-$D33,0),IF(AND('Input data (2)'!$C$2=3,$C33&gt;=0),OFFSET('Input data (2)'!R$126,'Input data (2)'!$BL$1-$C33,0),IF(AND('Input data (2)'!$C$2=2,$B33&gt;=0),OFFSET('Input data (2)'!R$126,'Input data (2)'!$BL$1-$B33,0),IF(AND('Input data (2)'!$C$2=1,$A33&gt;=0),OFFSET('Input data (2)'!R$126,'Input data (2)'!$BL$1-$A33,0),""))))</f>
        <v>6295</v>
      </c>
      <c r="T51" s="1">
        <f ca="1">IF(AND('Input data (2)'!$C$2=4,$D33&gt;=0),OFFSET('Input data (2)'!AA$126,'Input data (2)'!$BL$1-$D33,0),IF(AND('Input data (2)'!$C$2=3,$C33&gt;=0),OFFSET('Input data (2)'!AA$126,'Input data (2)'!$BL$1-$C33,0),IF(AND('Input data (2)'!$C$2=2,$B33&gt;=0),OFFSET('Input data (2)'!AA$126,'Input data (2)'!$BL$1-$B33,0),IF(AND('Input data (2)'!$C$2=1,$A33&gt;=0),OFFSET('Input data (2)'!AA$126,'Input data (2)'!$BL$1-$A33,0),""))))</f>
        <v>13466</v>
      </c>
      <c r="U51" s="1" t="str">
        <f ca="1">IF(AND('Input data (2)'!$C$2=4,$D33&gt;=0),OFFSET('Input data (2)'!AL$126,'Input data (2)'!$BL$1-$D33,0),IF(AND('Input data (2)'!$C$2=3,$C33&gt;=0),OFFSET('Input data (2)'!AL$126,'Input data (2)'!$BL$1-$C33,0),IF(AND('Input data (2)'!$C$2=2,$B33&gt;=0),OFFSET('Input data (2)'!AL$126,'Input data (2)'!$BL$1-$B33,0),IF(AND('Input data (2)'!$C$2=1,$A33&gt;=0),OFFSET('Input data (2)'!AL$126,'Input data (2)'!$BL$1-$A33,0),""))))</f>
        <v>:</v>
      </c>
      <c r="V51" s="1">
        <f ca="1">IF(AND('Input data (2)'!$C$2=4,$D33&gt;=0),OFFSET('Input data (2)'!AJ$126,'Input data (2)'!$BL$1-$D33,0),IF(AND('Input data (2)'!$C$2=3,$C33&gt;=0),OFFSET('Input data (2)'!AJ$126,'Input data (2)'!$BL$1-$C33,0),IF(AND('Input data (2)'!$C$2=2,$B33&gt;=0),OFFSET('Input data (2)'!AJ$126,'Input data (2)'!$BL$1-$B33,0),IF(AND('Input data (2)'!$C$2=1,$A33&gt;=0),OFFSET('Input data (2)'!AJ$126,'Input data (2)'!$BL$1-$A33,0),""))))</f>
        <v>15256</v>
      </c>
      <c r="W51" s="1">
        <f ca="1">IF(AND('Input data (2)'!$C$2=4,$D33&gt;=0),OFFSET('Input data (2)'!AK$126,'Input data (2)'!$BL$1-$D33,0),IF(AND('Input data (2)'!$C$2=3,$C33&gt;=0),OFFSET('Input data (2)'!AK$126,'Input data (2)'!$BL$1-$C33,0),IF(AND('Input data (2)'!$C$2=2,$B33&gt;=0),OFFSET('Input data (2)'!AK$126,'Input data (2)'!$BL$1-$B33,0),IF(AND('Input data (2)'!$C$2=1,$A33&gt;=0),OFFSET('Input data (2)'!AK$126,'Input data (2)'!$BL$1-$A33,0),""))))</f>
        <v>13262</v>
      </c>
      <c r="Y51" s="1">
        <f ca="1">IF(AND('Input data (2)'!$C$2=4,$D33&gt;=0),OFFSET('Input data (2)'!Q$126,'Input data (2)'!$BL$1-$D33,0),IF(AND('Input data (2)'!$C$2=3,$C33&gt;=0),OFFSET('Input data (2)'!Q$126,'Input data (2)'!$BL$1-$C33,0),IF(AND('Input data (2)'!$C$2=2,$B33&gt;=0),OFFSET('Input data (2)'!Q$126,'Input data (2)'!$BL$1-$B33,0),IF(AND('Input data (2)'!$C$2=1,$A33&gt;=0),OFFSET('Input data (2)'!Q$126,'Input data (2)'!$BL$1-$A33,0),""))))</f>
        <v>14982</v>
      </c>
      <c r="Z51" s="1">
        <f ca="1">IF(AND('Input data (2)'!$C$2=4,$D33&gt;=0),OFFSET('Input data (2)'!S$126,'Input data (2)'!$BL$1-$D33,0),IF(AND('Input data (2)'!$C$2=3,$C33&gt;=0),OFFSET('Input data (2)'!S$126,'Input data (2)'!$BL$1-$C33,0),IF(AND('Input data (2)'!$C$2=2,$B33&gt;=0),OFFSET('Input data (2)'!S$126,'Input data (2)'!$BL$1-$B33,0),IF(AND('Input data (2)'!$C$2=1,$A33&gt;=0),OFFSET('Input data (2)'!S$126,'Input data (2)'!$BL$1-$A33,0),""))))</f>
        <v>12844</v>
      </c>
      <c r="AA51" s="1">
        <f ca="1">IF(AND('Input data (2)'!$C$2=4,$D33&gt;=0),OFFSET('Input data (2)'!T$126,'Input data (2)'!$BL$1-$D33,0),IF(AND('Input data (2)'!$C$2=3,$C33&gt;=0),OFFSET('Input data (2)'!T$126,'Input data (2)'!$BL$1-$C33,0),IF(AND('Input data (2)'!$C$2=2,$B33&gt;=0),OFFSET('Input data (2)'!T$126,'Input data (2)'!$BL$1-$B33,0),IF(AND('Input data (2)'!$C$2=1,$A33&gt;=0),OFFSET('Input data (2)'!T$126,'Input data (2)'!$BL$1-$A33,0),""))))</f>
        <v>85.729542117207316</v>
      </c>
      <c r="AB51" s="1">
        <f ca="1">IF(AND('Input data (2)'!$C$2=4,$D33&gt;=0),OFFSET('Input data (2)'!U$126,'Input data (2)'!$BL$1-$D33,0),IF(AND('Input data (2)'!$C$2=3,$C33&gt;=0),OFFSET('Input data (2)'!U$126,'Input data (2)'!$BL$1-$C33,0),IF(AND('Input data (2)'!$C$2=2,$B33&gt;=0),OFFSET('Input data (2)'!U$126,'Input data (2)'!$BL$1-$B33,0),IF(AND('Input data (2)'!$C$2=1,$A33&gt;=0),OFFSET('Input data (2)'!U$126,'Input data (2)'!$BL$1-$A33,0),""))))</f>
        <v>2138</v>
      </c>
      <c r="AC51" s="1">
        <f ca="1">IF(AND('Input data (2)'!$C$2=4,$D33&gt;=0),OFFSET('Input data (2)'!V$126,'Input data (2)'!$BL$1-$D33,0),IF(AND('Input data (2)'!$C$2=3,$C33&gt;=0),OFFSET('Input data (2)'!V$126,'Input data (2)'!$BL$1-$C33,0),IF(AND('Input data (2)'!$C$2=2,$B33&gt;=0),OFFSET('Input data (2)'!V$126,'Input data (2)'!$BL$1-$B33,0),IF(AND('Input data (2)'!$C$2=1,$A33&gt;=0),OFFSET('Input data (2)'!V$126,'Input data (2)'!$BL$1-$A33,0),""))))</f>
        <v>14.270457882792684</v>
      </c>
      <c r="AD51" s="1">
        <f ca="1">IF(AND('Input data (2)'!$C$2=4,$D33&gt;=0),OFFSET('Input data (2)'!Q$126,'Input data (2)'!$BL$1-$D33,0),IF(AND('Input data (2)'!$C$2=3,$C33&gt;=0),OFFSET('Input data (2)'!Q$126,'Input data (2)'!$BL$1-$C33,0),IF(AND('Input data (2)'!$C$2=2,$B33&gt;=0),OFFSET('Input data (2)'!Q$126,'Input data (2)'!$BL$1-$B33,0),IF(AND('Input data (2)'!$C$2=1,$A33&gt;=0),OFFSET('Input data (2)'!Q$126,'Input data (2)'!$BL$1-$A33,0),""))))</f>
        <v>14982</v>
      </c>
      <c r="AE51" s="1">
        <f ca="1">IF(AND('Input data (2)'!$C$2=4,$D33&gt;=0),OFFSET('Input data (2)'!W$126,'Input data (2)'!$BL$1-$D33,0),IF(AND('Input data (2)'!$C$2=3,$C33&gt;=0),OFFSET('Input data (2)'!W$126,'Input data (2)'!$BL$1-$C33,0),IF(AND('Input data (2)'!$C$2=2,$B33&gt;=0),OFFSET('Input data (2)'!W$126,'Input data (2)'!$BL$1-$B33,0),IF(AND('Input data (2)'!$C$2=1,$A33&gt;=0),OFFSET('Input data (2)'!W$126,'Input data (2)'!$BL$1-$A33,0),""))))</f>
        <v>1911</v>
      </c>
      <c r="AF51" s="1">
        <f ca="1">IF(AND('Input data (2)'!$C$2=4,$D33&gt;=0),OFFSET('Input data (2)'!X$126,'Input data (2)'!$BL$1-$D33,0),IF(AND('Input data (2)'!$C$2=3,$C33&gt;=0),OFFSET('Input data (2)'!X$126,'Input data (2)'!$BL$1-$C33,0),IF(AND('Input data (2)'!$C$2=2,$B33&gt;=0),OFFSET('Input data (2)'!X$126,'Input data (2)'!$BL$1-$B33,0),IF(AND('Input data (2)'!$C$2=1,$A33&gt;=0),OFFSET('Input data (2)'!X$126,'Input data (2)'!$BL$1-$A33,0),""))))</f>
        <v>12.75530636764117</v>
      </c>
      <c r="AG51" s="1">
        <f ca="1">IF(AND('Input data (2)'!$C$2=4,$D33&gt;=0),OFFSET('Input data (2)'!Y$126,'Input data (2)'!$BL$1-$D33,0),IF(AND('Input data (2)'!$C$2=3,$C33&gt;=0),OFFSET('Input data (2)'!Y$126,'Input data (2)'!$BL$1-$C33,0),IF(AND('Input data (2)'!$C$2=2,$B33&gt;=0),OFFSET('Input data (2)'!Y$126,'Input data (2)'!$BL$1-$B33,0),IF(AND('Input data (2)'!$C$2=1,$A33&gt;=0),OFFSET('Input data (2)'!Y$126,'Input data (2)'!$BL$1-$A33,0),""))))</f>
        <v>13071</v>
      </c>
      <c r="AH51" s="1">
        <f ca="1">IF(AND('Input data (2)'!$C$2=4,$D33&gt;=0),OFFSET('Input data (2)'!Z$126,'Input data (2)'!$BL$1-$D33,0),IF(AND('Input data (2)'!$C$2=3,$C33&gt;=0),OFFSET('Input data (2)'!Z$126,'Input data (2)'!$BL$1-$C33,0),IF(AND('Input data (2)'!$C$2=2,$B33&gt;=0),OFFSET('Input data (2)'!Z$126,'Input data (2)'!$BL$1-$B33,0),IF(AND('Input data (2)'!$C$2=1,$A33&gt;=0),OFFSET('Input data (2)'!Z$126,'Input data (2)'!$BL$1-$A33,0),""))))</f>
        <v>87.244693632358832</v>
      </c>
      <c r="AI51" s="3"/>
      <c r="AJ51" s="124">
        <f ca="1">IF(AND('Input data (2)'!$C$2=4,$D33&gt;=0),OFFSET('Input data (2)'!AF$126,'Input data (2)'!$BL$1-$D33,0),IF(AND('Input data (2)'!$C$2=3,$C33&gt;=0),OFFSET('Input data (2)'!AF$126,'Input data (2)'!$BL$1-$C33,0),IF(AND('Input data (2)'!$C$2=2,$B33&gt;=0),OFFSET('Input data (2)'!AF$126,'Input data (2)'!$BL$1-$B33,0),IF(AND('Input data (2)'!$C$2=1,$A33&gt;=0),OFFSET('Input data (2)'!AF$126,'Input data (2)'!$BL$1-$A33,0),""))))</f>
        <v>3046</v>
      </c>
      <c r="AK51" s="124">
        <f ca="1">IF(AND('Input data (2)'!$C$2=4,$D33&gt;=0),OFFSET('Input data (2)'!AD$126,'Input data (2)'!$BL$1-$D33,0),IF(AND('Input data (2)'!$C$2=3,$C33&gt;=0),OFFSET('Input data (2)'!AD$126,'Input data (2)'!$BL$1-$C33,0),IF(AND('Input data (2)'!$C$2=2,$B33&gt;=0),OFFSET('Input data (2)'!AD$126,'Input data (2)'!$BL$1-$B33,0),IF(AND('Input data (2)'!$C$2=1,$A33&gt;=0),OFFSET('Input data (2)'!AD$126,'Input data (2)'!$BL$1-$A33,0),""))))</f>
        <v>14</v>
      </c>
      <c r="AL51" s="124">
        <f ca="1">IF(AND('Input data (2)'!$C$2=4,$D33&gt;=0),OFFSET('Input data (2)'!AE$126,'Input data (2)'!$BL$1-$D33,0),IF(AND('Input data (2)'!$C$2=3,$C33&gt;=0),OFFSET('Input data (2)'!AE$126,'Input data (2)'!$BL$1-$C33,0),IF(AND('Input data (2)'!$C$2=2,$B33&gt;=0),OFFSET('Input data (2)'!AE$126,'Input data (2)'!$BL$1-$B33,0),IF(AND('Input data (2)'!$C$2=1,$A33&gt;=0),OFFSET('Input data (2)'!AE$126,'Input data (2)'!$BL$1-$A33,0),""))))</f>
        <v>3032</v>
      </c>
      <c r="AW51" s="1">
        <f ca="1">IF(AND('Input data (2)'!$C$2=4,$D33&gt;=0),OFFSET('Input data (2)'!L$126,'Input data (2)'!$BL$1-$D33,0),IF(AND('Input data (2)'!$C$2=3,$C33&gt;=0),OFFSET('Input data (2)'!L$126,'Input data (2)'!$BL$1-$C33,0),IF(AND('Input data (2)'!$C$2=2,$B33&gt;=0),OFFSET('Input data (2)'!L$126,'Input data (2)'!$BL$1-$B33,0),IF(AND('Input data (2)'!$C$2=1,$A33&gt;=0),OFFSET('Input data (2)'!L$126,'Input data (2)'!$BL$1-$A33,0),""))))</f>
        <v>302</v>
      </c>
      <c r="AX51" s="1">
        <f ca="1">IF(AND('Input data (2)'!$C$2=4,$D33&gt;=0),OFFSET('Input data (2)'!M$126,'Input data (2)'!$BL$1-$D33,0),IF(AND('Input data (2)'!$C$2=3,$C33&gt;=0),OFFSET('Input data (2)'!M$126,'Input data (2)'!$BL$1-$C33,0),IF(AND('Input data (2)'!$C$2=2,$B33&gt;=0),OFFSET('Input data (2)'!M$126,'Input data (2)'!$BL$1-$B33,0),IF(AND('Input data (2)'!$C$2=1,$A33&gt;=0),OFFSET('Input data (2)'!M$126,'Input data (2)'!$BL$1-$A33,0),""))))</f>
        <v>0</v>
      </c>
      <c r="AY51" s="1">
        <f ca="1">IF(AND('Input data (2)'!$C$2=4,$D33&gt;=0),OFFSET('Input data (2)'!N$126,'Input data (2)'!$BL$1-$D33,0),IF(AND('Input data (2)'!$C$2=3,$C33&gt;=0),OFFSET('Input data (2)'!N$126,'Input data (2)'!$BL$1-$C33,0),IF(AND('Input data (2)'!$C$2=2,$B33&gt;=0),OFFSET('Input data (2)'!N$126,'Input data (2)'!$BL$1-$B33,0),IF(AND('Input data (2)'!$C$2=1,$A33&gt;=0),OFFSET('Input data (2)'!N$126,'Input data (2)'!$BL$1-$A33,0),""))))</f>
        <v>777</v>
      </c>
      <c r="AZ51" s="1">
        <f ca="1">IF(AND('Input data (2)'!$C$2=4,$D33&gt;=0),OFFSET('Input data (2)'!P$126,'Input data (2)'!$BL$1-$D33,0),IF(AND('Input data (2)'!$C$2=3,$C33&gt;=0),OFFSET('Input data (2)'!P$126,'Input data (2)'!$BL$1-$C33,0),IF(AND('Input data (2)'!$C$2=2,$B33&gt;=0),OFFSET('Input data (2)'!P$126,'Input data (2)'!$BL$1-$B33,0),IF(AND('Input data (2)'!$C$2=1,$A33&gt;=0),OFFSET('Input data (2)'!P$126,'Input data (2)'!$BL$1-$A33,0),""))))</f>
        <v>232</v>
      </c>
      <c r="BB51" s="1">
        <f ca="1">IF(AND('Input data (2)'!$C$2=4,$D33&gt;=0),OFFSET('Input data (2)'!BB$126,'Input data (2)'!$BL$1-$D33,0),IF(AND('Input data (2)'!$C$2=3,$C33&gt;=0),OFFSET('Input data (2)'!BB$126,'Input data (2)'!$BL$1-$C33,0),IF(AND('Input data (2)'!$C$2=2,$B33&gt;=0),OFFSET('Input data (2)'!BB$126,'Input data (2)'!$BL$1-$B33,0),IF(AND('Input data (2)'!$C$2=1,$A33&gt;=0),OFFSET('Input data (2)'!BB$126,'Input data (2)'!$BL$1-$A33,0),""))))</f>
        <v>5378</v>
      </c>
      <c r="BC51" s="1">
        <f ca="1">IF(AND('Input data (2)'!$C$2=4,$D33&gt;=0),OFFSET('Input data (2)'!AY$126,'Input data (2)'!$BL$1-$D33,0),IF(AND('Input data (2)'!$C$2=3,$C33&gt;=0),OFFSET('Input data (2)'!AY$126,'Input data (2)'!$BL$1-$C33,0),IF(AND('Input data (2)'!$C$2=2,$B33&gt;=0),OFFSET('Input data (2)'!AY$126,'Input data (2)'!$BL$1-$B33,0),IF(AND('Input data (2)'!$C$2=1,$A33&gt;=0),OFFSET('Input data (2)'!AY$126,'Input data (2)'!$BL$1-$A33,0),""))))</f>
        <v>3139</v>
      </c>
      <c r="BD51" s="1">
        <f ca="1">IF(AND('Input data (2)'!$C$2=4,$D33&gt;=0),OFFSET('Input data (2)'!AZ$126,'Input data (2)'!$BL$1-$D33,0),IF(AND('Input data (2)'!$C$2=3,$C33&gt;=0),OFFSET('Input data (2)'!AZ$126,'Input data (2)'!$BL$1-$C33,0),IF(AND('Input data (2)'!$C$2=2,$B33&gt;=0),OFFSET('Input data (2)'!AZ$126,'Input data (2)'!$BL$1-$B33,0),IF(AND('Input data (2)'!$C$2=1,$A33&gt;=0),OFFSET('Input data (2)'!AZ$126,'Input data (2)'!$BL$1-$A33,0),""))))</f>
        <v>1897</v>
      </c>
      <c r="BE51" s="1">
        <f ca="1">IF(AND('Input data (2)'!$C$2=4,$D33&gt;=0),OFFSET('Input data (2)'!BA$126,'Input data (2)'!$BL$1-$D33,0),IF(AND('Input data (2)'!$C$2=3,$C33&gt;=0),OFFSET('Input data (2)'!BA$126,'Input data (2)'!$BL$1-$C33,0),IF(AND('Input data (2)'!$C$2=2,$B33&gt;=0),OFFSET('Input data (2)'!BA$126,'Input data (2)'!$BL$1-$B33,0),IF(AND('Input data (2)'!$C$2=1,$A33&gt;=0),OFFSET('Input data (2)'!BA$126,'Input data (2)'!$BL$1-$A33,0),""))))</f>
        <v>2239</v>
      </c>
      <c r="BF51" s="1">
        <f ca="1">IF(AND('Input data (2)'!$C$2=4,$D33&gt;=0),OFFSET('Input data (2)'!AP$126,'Input data (2)'!$BL$1-$D33,0),IF(AND('Input data (2)'!$C$2=3,$C33&gt;=0),OFFSET('Input data (2)'!AP$126,'Input data (2)'!$BL$1-$C33,0),IF(AND('Input data (2)'!$C$2=2,$B33&gt;=0),OFFSET('Input data (2)'!AP$126,'Input data (2)'!$BL$1-$B33,0),IF(AND('Input data (2)'!$C$2=1,$A33&gt;=0),OFFSET('Input data (2)'!AP$126,'Input data (2)'!$BL$1-$A33,0),""))))</f>
        <v>297</v>
      </c>
      <c r="BG51" s="1">
        <f ca="1">IF(AND('Input data (2)'!$C$2=4,$D33&gt;=0),OFFSET('Input data (2)'!AN$126,'Input data (2)'!$BL$1-$D33,0),IF(AND('Input data (2)'!$C$2=3,$C33&gt;=0),OFFSET('Input data (2)'!AN$126,'Input data (2)'!$BL$1-$C33,0),IF(AND('Input data (2)'!$C$2=2,$B33&gt;=0),OFFSET('Input data (2)'!AN$126,'Input data (2)'!$BL$1-$B33,0),IF(AND('Input data (2)'!$C$2=1,$A33&gt;=0),OFFSET('Input data (2)'!AN$126,'Input data (2)'!$BL$1-$A33,0),""))))</f>
        <v>215</v>
      </c>
      <c r="BH51" s="1">
        <f ca="1">IF(AND('Input data (2)'!$C$2=4,$D33&gt;=0),OFFSET('Input data (2)'!AO$126,'Input data (2)'!$BL$1-$D33,0),IF(AND('Input data (2)'!$C$2=3,$C33&gt;=0),OFFSET('Input data (2)'!AO$126,'Input data (2)'!$BL$1-$C33,0),IF(AND('Input data (2)'!$C$2=2,$B33&gt;=0),OFFSET('Input data (2)'!AO$126,'Input data (2)'!$BL$1-$B33,0),IF(AND('Input data (2)'!$C$2=1,$A33&gt;=0),OFFSET('Input data (2)'!AO$126,'Input data (2)'!$BL$1-$A33,0),""))))</f>
        <v>82</v>
      </c>
      <c r="BJ51" s="1">
        <f ca="1">IF(AND('Input data (2)'!$C$2=4,$D33&gt;=0),OFFSET('Input data (2)'!AU$126,'Input data (2)'!$BL$1-$D33,0),IF(AND('Input data (2)'!$C$2=3,$C33&gt;=0),OFFSET('Input data (2)'!AU$126,'Input data (2)'!$BL$1-$C33,0),IF(AND('Input data (2)'!$C$2=2,$B33&gt;=0),OFFSET('Input data (2)'!AU$126,'Input data (2)'!$BL$1-$B33,0),IF(AND('Input data (2)'!$C$2=1,$A33&gt;=0),OFFSET('Input data (2)'!AU$126,'Input data (2)'!$BL$1-$A33,0),""))))</f>
        <v>22</v>
      </c>
      <c r="BK51" s="1">
        <f ca="1">IF(AND('Input data (2)'!$C$2=4,$D33&gt;=0),OFFSET('Input data (2)'!AV$126,'Input data (2)'!$BL$1-$D33,0),IF(AND('Input data (2)'!$C$2=3,$C33&gt;=0),OFFSET('Input data (2)'!AV$126,'Input data (2)'!$BL$1-$C33,0),IF(AND('Input data (2)'!$C$2=2,$B33&gt;=0),OFFSET('Input data (2)'!AV$126,'Input data (2)'!$BL$1-$B33,0),IF(AND('Input data (2)'!$C$2=1,$A33&gt;=0),OFFSET('Input data (2)'!AV$126,'Input data (2)'!$BL$1-$A33,0),""))))</f>
        <v>1</v>
      </c>
      <c r="BL51" s="1">
        <f ca="1">IF(AND('Input data (2)'!$C$2=4,$D33&gt;=0),OFFSET('Input data (2)'!AW$126,'Input data (2)'!$BL$1-$D33,0),IF(AND('Input data (2)'!$C$2=3,$C33&gt;=0),OFFSET('Input data (2)'!AW$126,'Input data (2)'!$BL$1-$C33,0),IF(AND('Input data (2)'!$C$2=2,$B33&gt;=0),OFFSET('Input data (2)'!AW$126,'Input data (2)'!$BL$1-$B33,0),IF(AND('Input data (2)'!$C$2=1,$A33&gt;=0),OFFSET('Input data (2)'!AW$126,'Input data (2)'!$BL$1-$A33,0),""))))</f>
        <v>51</v>
      </c>
      <c r="BM51" s="1">
        <f ca="1">IF(AND('Input data (2)'!$C$2=4,$D33&gt;=0),OFFSET('Input data (2)'!AX$126,'Input data (2)'!$BL$1-$D33,0),IF(AND('Input data (2)'!$C$2=3,$C33&gt;=0),OFFSET('Input data (2)'!AX$126,'Input data (2)'!$BL$1-$C33,0),IF(AND('Input data (2)'!$C$2=2,$B33&gt;=0),OFFSET('Input data (2)'!AX$126,'Input data (2)'!$BL$1-$B33,0),IF(AND('Input data (2)'!$C$2=1,$A33&gt;=0),OFFSET('Input data (2)'!AX$126,'Input data (2)'!$BL$1-$A33,0),""))))</f>
        <v>1</v>
      </c>
      <c r="BO51" s="1">
        <f ca="1">IF(AND('Input data (2)'!$C$2=4,$D33&gt;=0),OFFSET('Input data (2)'!BL$126,'Input data (2)'!$BL$1-$D33,0),IF(AND('Input data (2)'!$C$2=3,$C33&gt;=0),OFFSET('Input data (2)'!BL$126,'Input data (2)'!$BL$1-$C33,0),IF(AND('Input data (2)'!$C$2=2,$B33&gt;=0),OFFSET('Input data (2)'!BL$126,'Input data (2)'!$BL$1-$B33,0),IF(AND('Input data (2)'!$C$2=1,$A33&gt;=0),OFFSET('Input data (2)'!BL$126,'Input data (2)'!$BL$1-$A33,0),""))))</f>
        <v>636</v>
      </c>
      <c r="BP51" s="1">
        <f ca="1">IF(AND('Input data (2)'!$C$2=4,$D33&gt;=0),OFFSET('Input data (2)'!BI$126,'Input data (2)'!$BL$1-$D33,0),IF(AND('Input data (2)'!$C$2=3,$C33&gt;=0),OFFSET('Input data (2)'!BI$126,'Input data (2)'!$BL$1-$C33,0),IF(AND('Input data (2)'!$C$2=2,$B33&gt;=0),OFFSET('Input data (2)'!BI$126,'Input data (2)'!$BL$1-$B33,0),IF(AND('Input data (2)'!$C$2=1,$A33&gt;=0),OFFSET('Input data (2)'!BI$126,'Input data (2)'!$BL$1-$A33,0),""))))</f>
        <v>363</v>
      </c>
      <c r="BQ51" s="1" t="str">
        <f ca="1">IF(AND('Input data (2)'!$C$2=4,$D33&gt;=0),OFFSET('Input data (2)'!BK$126,'Input data (2)'!$BL$1-$D33,0),IF(AND('Input data (2)'!$C$2=3,$C33&gt;=0),OFFSET('Input data (2)'!BK$126,'Input data (2)'!$BL$1-$C33,0),IF(AND('Input data (2)'!$C$2=2,$B33&gt;=0),OFFSET('Input data (2)'!BK$126,'Input data (2)'!$BL$1-$B33,0),IF(AND('Input data (2)'!$C$2=1,$A33&gt;=0),OFFSET('Input data (2)'!BK$126,'Input data (2)'!$BL$1-$A33,0),""))))</f>
        <v>..</v>
      </c>
      <c r="BR51" s="1">
        <f ca="1">IF(AND('Input data (2)'!$C$2=4,$D33&gt;=0),OFFSET('Input data (2)'!BJ$126,'Input data (2)'!$BL$1-$D33,0),IF(AND('Input data (2)'!$C$2=3,$C33&gt;=0),OFFSET('Input data (2)'!BJ$126,'Input data (2)'!$BL$1-$C33,0),IF(AND('Input data (2)'!$C$2=2,$B33&gt;=0),OFFSET('Input data (2)'!BJ$126,'Input data (2)'!$BL$1-$B33,0),IF(AND('Input data (2)'!$C$2=1,$A33&gt;=0),OFFSET('Input data (2)'!BJ$126,'Input data (2)'!$BL$1-$A33,0),""))))</f>
        <v>273</v>
      </c>
      <c r="BS51" s="1">
        <f ca="1">IF(AND('Input data (2)'!$C$2=4,$D33&gt;=0),OFFSET('Input data (2)'!BF$126,'Input data (2)'!$BL$1-$D33,0),IF(AND('Input data (2)'!$C$2=3,$C33&gt;=0),OFFSET('Input data (2)'!BF$126,'Input data (2)'!$BL$1-$C33,0),IF(AND('Input data (2)'!$C$2=2,$B33&gt;=0),OFFSET('Input data (2)'!BF$126,'Input data (2)'!$BL$1-$B33,0),IF(AND('Input data (2)'!$C$2=1,$A33&gt;=0),OFFSET('Input data (2)'!BF$126,'Input data (2)'!$BL$1-$A33,0),""))))</f>
        <v>116</v>
      </c>
      <c r="BT51" s="1">
        <f ca="1">IF(AND('Input data (2)'!$C$2=4,$D33&gt;=0),OFFSET('Input data (2)'!BD$126,'Input data (2)'!$BL$1-$D33,0),IF(AND('Input data (2)'!$C$2=3,$C33&gt;=0),OFFSET('Input data (2)'!BD$126,'Input data (2)'!$BL$1-$C33,0),IF(AND('Input data (2)'!$C$2=2,$B33&gt;=0),OFFSET('Input data (2)'!BD$126,'Input data (2)'!$BL$1-$B33,0),IF(AND('Input data (2)'!$C$2=1,$A33&gt;=0),OFFSET('Input data (2)'!BD$126,'Input data (2)'!$BL$1-$A33,0),""))))</f>
        <v>92</v>
      </c>
      <c r="BU51" s="1">
        <f ca="1">IF(AND('Input data (2)'!$C$2=4,$D33&gt;=0),OFFSET('Input data (2)'!BE$126,'Input data (2)'!$BL$1-$D33,0),IF(AND('Input data (2)'!$C$2=3,$C33&gt;=0),OFFSET('Input data (2)'!BE$126,'Input data (2)'!$BL$1-$C33,0),IF(AND('Input data (2)'!$C$2=2,$B33&gt;=0),OFFSET('Input data (2)'!BE$126,'Input data (2)'!$BL$1-$B33,0),IF(AND('Input data (2)'!$C$2=1,$A33&gt;=0),OFFSET('Input data (2)'!BE$126,'Input data (2)'!$BL$1-$A33,0),""))))</f>
        <v>24</v>
      </c>
      <c r="BW51" s="7">
        <f ca="1">IF(AND('Input data (2)'!$C$2=4,$D33&gt;=0),OFFSET('Input data (2)'!J$126,'Input data (2)'!$BL$1-$D33,0),IF(AND('Input data (2)'!$C$2=3,$C33&gt;=0),OFFSET('Input data (2)'!J$126,'Input data (2)'!$BL$1-$C33,0),IF(AND('Input data (2)'!$C$2=2,$B33&gt;=0),OFFSET('Input data (2)'!J$126,'Input data (2)'!$BL$1-$B33,0),IF(AND('Input data (2)'!$C$2=1,$A33&gt;=0),OFFSET('Input data (2)'!J$126,'Input data (2)'!$BL$1-$A33,0),""))))</f>
        <v>0.86051333982330791</v>
      </c>
      <c r="BX51" s="7">
        <f ca="1">IF(AND('Input data (2)'!$C$2=4,$D33&gt;=0),OFFSET('Input data (2)'!K$126,'Input data (2)'!$BL$1-$D33,0),IF(AND('Input data (2)'!$C$2=3,$C33&gt;=0),OFFSET('Input data (2)'!K$126,'Input data (2)'!$BL$1-$C33,0),IF(AND('Input data (2)'!$C$2=2,$B33&gt;=0),OFFSET('Input data (2)'!K$126,'Input data (2)'!$BL$1-$B33,0),IF(AND('Input data (2)'!$C$2=1,$A33&gt;=0),OFFSET('Input data (2)'!K$126,'Input data (2)'!$BL$1-$A33,0),""))))</f>
        <v>0.77182702218679822</v>
      </c>
      <c r="BY51" s="7">
        <f ca="1">IF(AND('Input data (2)'!$C$2=4,$D33&gt;=0),OFFSET('Input data (2)'!AS$126,'Input data (2)'!$BL$1-$D33,0),IF(AND('Input data (2)'!$C$2=3,$C33&gt;=0),OFFSET('Input data (2)'!AS$126,'Input data (2)'!$BL$1-$C33,0),IF(AND('Input data (2)'!$C$2=2,$B33&gt;=0),OFFSET('Input data (2)'!AS$126,'Input data (2)'!$BL$1-$B33,0),IF(AND('Input data (2)'!$C$2=1,$A33&gt;=0),OFFSET('Input data (2)'!AS$126,'Input data (2)'!$BL$1-$A33,0),""))))</f>
        <v>0.65384561080141657</v>
      </c>
      <c r="BZ51" s="7">
        <f ca="1">IF(AND('Input data (2)'!$C$2=4,$D33&gt;=0),OFFSET('Input data (2)'!AT$126,'Input data (2)'!$BL$1-$D33,0),IF(AND('Input data (2)'!$C$2=3,$C33&gt;=0),OFFSET('Input data (2)'!AT$126,'Input data (2)'!$BL$1-$C33,0),IF(AND('Input data (2)'!$C$2=2,$B33&gt;=0),OFFSET('Input data (2)'!AT$126,'Input data (2)'!$BL$1-$B33,0),IF(AND('Input data (2)'!$C$2=1,$A33&gt;=0),OFFSET('Input data (2)'!AT$126,'Input data (2)'!$BL$1-$A33,0),""))))</f>
        <v>0.57871566928910223</v>
      </c>
      <c r="CB51" s="122"/>
      <c r="CC51" s="122"/>
      <c r="CD51" s="122"/>
      <c r="CE51" s="122"/>
      <c r="CK51" s="1"/>
      <c r="CL51" s="1"/>
      <c r="CM51" s="1"/>
      <c r="CN51" s="1"/>
      <c r="CO51" s="1"/>
      <c r="CP51" s="1"/>
    </row>
    <row r="52" spans="5:94" x14ac:dyDescent="0.15">
      <c r="E52" s="1" t="str">
        <f>F52&amp;G52</f>
        <v>2010Q3</v>
      </c>
      <c r="F52" s="1">
        <f>F47+1</f>
        <v>2010</v>
      </c>
      <c r="G52" s="1" t="s">
        <v>3</v>
      </c>
      <c r="H52" s="1">
        <f>VLOOKUP($E52,'Input data (2)'!$A:$BL,'Output data - DO NOT TOUCH (2)'!H$71,FALSE)</f>
        <v>3881</v>
      </c>
      <c r="I52" s="1">
        <f>VLOOKUP($E52,'Input data (2)'!$A:$BL,'Output data - DO NOT TOUCH (2)'!I$71,FALSE)</f>
        <v>1082</v>
      </c>
      <c r="J52" s="1">
        <f>VLOOKUP($E52,'Input data (2)'!$A:$BL,'Output data - DO NOT TOUCH (2)'!J$71,FALSE)</f>
        <v>2799</v>
      </c>
      <c r="K52" s="1">
        <f>VLOOKUP($E52,'Input data (2)'!$A:$BL,'Output data - DO NOT TOUCH (2)'!K$71,FALSE)</f>
        <v>3969</v>
      </c>
      <c r="L52" s="1">
        <f>VLOOKUP($E52,'Input data (2)'!$A:$BL,'Output data - DO NOT TOUCH (2)'!L$71,FALSE)</f>
        <v>1128</v>
      </c>
      <c r="M52" s="1">
        <f>VLOOKUP($E52,'Input data (2)'!$A:$BL,'Output data - DO NOT TOUCH (2)'!M$71,FALSE)</f>
        <v>2841</v>
      </c>
      <c r="O52" s="119">
        <f ca="1">IF(AND('Input data (2)'!$C$2=4,$D34&gt;=0),OFFSET('Input data (2)'!O$126,'Input data (2)'!$BL$1-$D34,0),IF(AND('Input data (2)'!$C$2=3,$C34&gt;=0),OFFSET('Input data (2)'!O$126,'Input data (2)'!$BL$1-$C34,0),IF(AND('Input data (2)'!$C$2=2,$B34&gt;=0),OFFSET('Input data (2)'!O$126,'Input data (2)'!$BL$1-$B34,0),IF(AND('Input data (2)'!$C$2=1,$A34&gt;=0),OFFSET('Input data (2)'!O$126,'Input data (2)'!$BL$1-$A34,0),""))))</f>
        <v>333</v>
      </c>
      <c r="Q52" s="1">
        <f ca="1">IF(AND('Input data (2)'!$C$2=4,$D34&gt;=0),OFFSET('Input data (2)'!AC$126,'Input data (2)'!$BL$1-$D34,0),IF(AND('Input data (2)'!$C$2=3,$C34&gt;=0),OFFSET('Input data (2)'!AC$126,'Input data (2)'!$BL$1-$C34,0),IF(AND('Input data (2)'!$C$2=2,$B34&gt;=0),OFFSET('Input data (2)'!AC$126,'Input data (2)'!$BL$1-$B34,0),IF(AND('Input data (2)'!$C$2=1,$A34&gt;=0),OFFSET('Input data (2)'!AC$126,'Input data (2)'!$BL$1-$A34,0),""))))</f>
        <v>33935</v>
      </c>
      <c r="R52" s="1">
        <f ca="1">IF(AND('Input data (2)'!$C$2=4,$D34&gt;=0),OFFSET('Input data (2)'!Q$126,'Input data (2)'!$BL$1-$D34,0),IF(AND('Input data (2)'!$C$2=3,$C34&gt;=0),OFFSET('Input data (2)'!Q$126,'Input data (2)'!$BL$1-$C34,0),IF(AND('Input data (2)'!$C$2=2,$B34&gt;=0),OFFSET('Input data (2)'!Q$126,'Input data (2)'!$BL$1-$B34,0),IF(AND('Input data (2)'!$C$2=1,$A34&gt;=0),OFFSET('Input data (2)'!Q$126,'Input data (2)'!$BL$1-$A34,0),""))))</f>
        <v>13907</v>
      </c>
      <c r="S52" s="1">
        <f ca="1">IF(AND('Input data (2)'!$C$2=4,$D34&gt;=0),OFFSET('Input data (2)'!R$126,'Input data (2)'!$BL$1-$D34,0),IF(AND('Input data (2)'!$C$2=3,$C34&gt;=0),OFFSET('Input data (2)'!R$126,'Input data (2)'!$BL$1-$C34,0),IF(AND('Input data (2)'!$C$2=2,$B34&gt;=0),OFFSET('Input data (2)'!R$126,'Input data (2)'!$BL$1-$B34,0),IF(AND('Input data (2)'!$C$2=1,$A34&gt;=0),OFFSET('Input data (2)'!R$126,'Input data (2)'!$BL$1-$A34,0),""))))</f>
        <v>7068</v>
      </c>
      <c r="T52" s="1">
        <f ca="1">IF(AND('Input data (2)'!$C$2=4,$D34&gt;=0),OFFSET('Input data (2)'!AA$126,'Input data (2)'!$BL$1-$D34,0),IF(AND('Input data (2)'!$C$2=3,$C34&gt;=0),OFFSET('Input data (2)'!AA$126,'Input data (2)'!$BL$1-$C34,0),IF(AND('Input data (2)'!$C$2=2,$B34&gt;=0),OFFSET('Input data (2)'!AA$126,'Input data (2)'!$BL$1-$B34,0),IF(AND('Input data (2)'!$C$2=1,$A34&gt;=0),OFFSET('Input data (2)'!AA$126,'Input data (2)'!$BL$1-$A34,0),""))))</f>
        <v>12960</v>
      </c>
      <c r="U52" s="1" t="str">
        <f ca="1">IF(AND('Input data (2)'!$C$2=4,$D34&gt;=0),OFFSET('Input data (2)'!AL$126,'Input data (2)'!$BL$1-$D34,0),IF(AND('Input data (2)'!$C$2=3,$C34&gt;=0),OFFSET('Input data (2)'!AL$126,'Input data (2)'!$BL$1-$C34,0),IF(AND('Input data (2)'!$C$2=2,$B34&gt;=0),OFFSET('Input data (2)'!AL$126,'Input data (2)'!$BL$1-$B34,0),IF(AND('Input data (2)'!$C$2=1,$A34&gt;=0),OFFSET('Input data (2)'!AL$126,'Input data (2)'!$BL$1-$A34,0),""))))</f>
        <v>:</v>
      </c>
      <c r="V52" s="1">
        <f ca="1">IF(AND('Input data (2)'!$C$2=4,$D34&gt;=0),OFFSET('Input data (2)'!AJ$126,'Input data (2)'!$BL$1-$D34,0),IF(AND('Input data (2)'!$C$2=3,$C34&gt;=0),OFFSET('Input data (2)'!AJ$126,'Input data (2)'!$BL$1-$C34,0),IF(AND('Input data (2)'!$C$2=2,$B34&gt;=0),OFFSET('Input data (2)'!AJ$126,'Input data (2)'!$BL$1-$B34,0),IF(AND('Input data (2)'!$C$2=1,$A34&gt;=0),OFFSET('Input data (2)'!AJ$126,'Input data (2)'!$BL$1-$A34,0),""))))</f>
        <v>14155</v>
      </c>
      <c r="W52" s="1">
        <f ca="1">IF(AND('Input data (2)'!$C$2=4,$D34&gt;=0),OFFSET('Input data (2)'!AK$126,'Input data (2)'!$BL$1-$D34,0),IF(AND('Input data (2)'!$C$2=3,$C34&gt;=0),OFFSET('Input data (2)'!AK$126,'Input data (2)'!$BL$1-$C34,0),IF(AND('Input data (2)'!$C$2=2,$B34&gt;=0),OFFSET('Input data (2)'!AK$126,'Input data (2)'!$BL$1-$B34,0),IF(AND('Input data (2)'!$C$2=1,$A34&gt;=0),OFFSET('Input data (2)'!AK$126,'Input data (2)'!$BL$1-$A34,0),""))))</f>
        <v>12379</v>
      </c>
      <c r="Y52" s="1">
        <f ca="1">IF(AND('Input data (2)'!$C$2=4,$D34&gt;=0),OFFSET('Input data (2)'!Q$126,'Input data (2)'!$BL$1-$D34,0),IF(AND('Input data (2)'!$C$2=3,$C34&gt;=0),OFFSET('Input data (2)'!Q$126,'Input data (2)'!$BL$1-$C34,0),IF(AND('Input data (2)'!$C$2=2,$B34&gt;=0),OFFSET('Input data (2)'!Q$126,'Input data (2)'!$BL$1-$B34,0),IF(AND('Input data (2)'!$C$2=1,$A34&gt;=0),OFFSET('Input data (2)'!Q$126,'Input data (2)'!$BL$1-$A34,0),""))))</f>
        <v>13907</v>
      </c>
      <c r="Z52" s="1">
        <f ca="1">IF(AND('Input data (2)'!$C$2=4,$D34&gt;=0),OFFSET('Input data (2)'!S$126,'Input data (2)'!$BL$1-$D34,0),IF(AND('Input data (2)'!$C$2=3,$C34&gt;=0),OFFSET('Input data (2)'!S$126,'Input data (2)'!$BL$1-$C34,0),IF(AND('Input data (2)'!$C$2=2,$B34&gt;=0),OFFSET('Input data (2)'!S$126,'Input data (2)'!$BL$1-$B34,0),IF(AND('Input data (2)'!$C$2=1,$A34&gt;=0),OFFSET('Input data (2)'!S$126,'Input data (2)'!$BL$1-$A34,0),""))))</f>
        <v>11734</v>
      </c>
      <c r="AA52" s="1">
        <f ca="1">IF(AND('Input data (2)'!$C$2=4,$D34&gt;=0),OFFSET('Input data (2)'!T$126,'Input data (2)'!$BL$1-$D34,0),IF(AND('Input data (2)'!$C$2=3,$C34&gt;=0),OFFSET('Input data (2)'!T$126,'Input data (2)'!$BL$1-$C34,0),IF(AND('Input data (2)'!$C$2=2,$B34&gt;=0),OFFSET('Input data (2)'!T$126,'Input data (2)'!$BL$1-$B34,0),IF(AND('Input data (2)'!$C$2=1,$A34&gt;=0),OFFSET('Input data (2)'!T$126,'Input data (2)'!$BL$1-$A34,0),""))))</f>
        <v>84.374775293017905</v>
      </c>
      <c r="AB52" s="1">
        <f ca="1">IF(AND('Input data (2)'!$C$2=4,$D34&gt;=0),OFFSET('Input data (2)'!U$126,'Input data (2)'!$BL$1-$D34,0),IF(AND('Input data (2)'!$C$2=3,$C34&gt;=0),OFFSET('Input data (2)'!U$126,'Input data (2)'!$BL$1-$C34,0),IF(AND('Input data (2)'!$C$2=2,$B34&gt;=0),OFFSET('Input data (2)'!U$126,'Input data (2)'!$BL$1-$B34,0),IF(AND('Input data (2)'!$C$2=1,$A34&gt;=0),OFFSET('Input data (2)'!U$126,'Input data (2)'!$BL$1-$A34,0),""))))</f>
        <v>2173</v>
      </c>
      <c r="AC52" s="1">
        <f ca="1">IF(AND('Input data (2)'!$C$2=4,$D34&gt;=0),OFFSET('Input data (2)'!V$126,'Input data (2)'!$BL$1-$D34,0),IF(AND('Input data (2)'!$C$2=3,$C34&gt;=0),OFFSET('Input data (2)'!V$126,'Input data (2)'!$BL$1-$C34,0),IF(AND('Input data (2)'!$C$2=2,$B34&gt;=0),OFFSET('Input data (2)'!V$126,'Input data (2)'!$BL$1-$B34,0),IF(AND('Input data (2)'!$C$2=1,$A34&gt;=0),OFFSET('Input data (2)'!V$126,'Input data (2)'!$BL$1-$A34,0),""))))</f>
        <v>15.625224706982097</v>
      </c>
      <c r="AD52" s="1">
        <f ca="1">IF(AND('Input data (2)'!$C$2=4,$D34&gt;=0),OFFSET('Input data (2)'!Q$126,'Input data (2)'!$BL$1-$D34,0),IF(AND('Input data (2)'!$C$2=3,$C34&gt;=0),OFFSET('Input data (2)'!Q$126,'Input data (2)'!$BL$1-$C34,0),IF(AND('Input data (2)'!$C$2=2,$B34&gt;=0),OFFSET('Input data (2)'!Q$126,'Input data (2)'!$BL$1-$B34,0),IF(AND('Input data (2)'!$C$2=1,$A34&gt;=0),OFFSET('Input data (2)'!Q$126,'Input data (2)'!$BL$1-$A34,0),""))))</f>
        <v>13907</v>
      </c>
      <c r="AE52" s="1">
        <f ca="1">IF(AND('Input data (2)'!$C$2=4,$D34&gt;=0),OFFSET('Input data (2)'!W$126,'Input data (2)'!$BL$1-$D34,0),IF(AND('Input data (2)'!$C$2=3,$C34&gt;=0),OFFSET('Input data (2)'!W$126,'Input data (2)'!$BL$1-$C34,0),IF(AND('Input data (2)'!$C$2=2,$B34&gt;=0),OFFSET('Input data (2)'!W$126,'Input data (2)'!$BL$1-$B34,0),IF(AND('Input data (2)'!$C$2=1,$A34&gt;=0),OFFSET('Input data (2)'!W$126,'Input data (2)'!$BL$1-$A34,0),""))))</f>
        <v>1650</v>
      </c>
      <c r="AF52" s="1">
        <f ca="1">IF(AND('Input data (2)'!$C$2=4,$D34&gt;=0),OFFSET('Input data (2)'!X$126,'Input data (2)'!$BL$1-$D34,0),IF(AND('Input data (2)'!$C$2=3,$C34&gt;=0),OFFSET('Input data (2)'!X$126,'Input data (2)'!$BL$1-$C34,0),IF(AND('Input data (2)'!$C$2=2,$B34&gt;=0),OFFSET('Input data (2)'!X$126,'Input data (2)'!$BL$1-$B34,0),IF(AND('Input data (2)'!$C$2=1,$A34&gt;=0),OFFSET('Input data (2)'!X$126,'Input data (2)'!$BL$1-$A34,0),""))))</f>
        <v>11.864528654634357</v>
      </c>
      <c r="AG52" s="1">
        <f ca="1">IF(AND('Input data (2)'!$C$2=4,$D34&gt;=0),OFFSET('Input data (2)'!Y$126,'Input data (2)'!$BL$1-$D34,0),IF(AND('Input data (2)'!$C$2=3,$C34&gt;=0),OFFSET('Input data (2)'!Y$126,'Input data (2)'!$BL$1-$C34,0),IF(AND('Input data (2)'!$C$2=2,$B34&gt;=0),OFFSET('Input data (2)'!Y$126,'Input data (2)'!$BL$1-$B34,0),IF(AND('Input data (2)'!$C$2=1,$A34&gt;=0),OFFSET('Input data (2)'!Y$126,'Input data (2)'!$BL$1-$A34,0),""))))</f>
        <v>12257</v>
      </c>
      <c r="AH52" s="1">
        <f ca="1">IF(AND('Input data (2)'!$C$2=4,$D34&gt;=0),OFFSET('Input data (2)'!Z$126,'Input data (2)'!$BL$1-$D34,0),IF(AND('Input data (2)'!$C$2=3,$C34&gt;=0),OFFSET('Input data (2)'!Z$126,'Input data (2)'!$BL$1-$C34,0),IF(AND('Input data (2)'!$C$2=2,$B34&gt;=0),OFFSET('Input data (2)'!Z$126,'Input data (2)'!$BL$1-$B34,0),IF(AND('Input data (2)'!$C$2=1,$A34&gt;=0),OFFSET('Input data (2)'!Z$126,'Input data (2)'!$BL$1-$A34,0),""))))</f>
        <v>88.135471345365644</v>
      </c>
      <c r="AI52" s="3"/>
      <c r="AJ52" s="124">
        <f ca="1">IF(AND('Input data (2)'!$C$2=4,$D34&gt;=0),OFFSET('Input data (2)'!AF$126,'Input data (2)'!$BL$1-$D34,0),IF(AND('Input data (2)'!$C$2=3,$C34&gt;=0),OFFSET('Input data (2)'!AF$126,'Input data (2)'!$BL$1-$C34,0),IF(AND('Input data (2)'!$C$2=2,$B34&gt;=0),OFFSET('Input data (2)'!AF$126,'Input data (2)'!$BL$1-$B34,0),IF(AND('Input data (2)'!$C$2=1,$A34&gt;=0),OFFSET('Input data (2)'!AF$126,'Input data (2)'!$BL$1-$A34,0),""))))</f>
        <v>4433</v>
      </c>
      <c r="AK52" s="124">
        <f ca="1">IF(AND('Input data (2)'!$C$2=4,$D34&gt;=0),OFFSET('Input data (2)'!AD$126,'Input data (2)'!$BL$1-$D34,0),IF(AND('Input data (2)'!$C$2=3,$C34&gt;=0),OFFSET('Input data (2)'!AD$126,'Input data (2)'!$BL$1-$C34,0),IF(AND('Input data (2)'!$C$2=2,$B34&gt;=0),OFFSET('Input data (2)'!AD$126,'Input data (2)'!$BL$1-$B34,0),IF(AND('Input data (2)'!$C$2=1,$A34&gt;=0),OFFSET('Input data (2)'!AD$126,'Input data (2)'!$BL$1-$A34,0),""))))</f>
        <v>12</v>
      </c>
      <c r="AL52" s="124">
        <f ca="1">IF(AND('Input data (2)'!$C$2=4,$D34&gt;=0),OFFSET('Input data (2)'!AE$126,'Input data (2)'!$BL$1-$D34,0),IF(AND('Input data (2)'!$C$2=3,$C34&gt;=0),OFFSET('Input data (2)'!AE$126,'Input data (2)'!$BL$1-$C34,0),IF(AND('Input data (2)'!$C$2=2,$B34&gt;=0),OFFSET('Input data (2)'!AE$126,'Input data (2)'!$BL$1-$B34,0),IF(AND('Input data (2)'!$C$2=1,$A34&gt;=0),OFFSET('Input data (2)'!AE$126,'Input data (2)'!$BL$1-$A34,0),""))))</f>
        <v>4421</v>
      </c>
      <c r="AW52" s="1">
        <f ca="1">IF(AND('Input data (2)'!$C$2=4,$D34&gt;=0),OFFSET('Input data (2)'!L$126,'Input data (2)'!$BL$1-$D34,0),IF(AND('Input data (2)'!$C$2=3,$C34&gt;=0),OFFSET('Input data (2)'!L$126,'Input data (2)'!$BL$1-$C34,0),IF(AND('Input data (2)'!$C$2=2,$B34&gt;=0),OFFSET('Input data (2)'!L$126,'Input data (2)'!$BL$1-$B34,0),IF(AND('Input data (2)'!$C$2=1,$A34&gt;=0),OFFSET('Input data (2)'!L$126,'Input data (2)'!$BL$1-$A34,0),""))))</f>
        <v>349</v>
      </c>
      <c r="AX52" s="1">
        <f ca="1">IF(AND('Input data (2)'!$C$2=4,$D34&gt;=0),OFFSET('Input data (2)'!M$126,'Input data (2)'!$BL$1-$D34,0),IF(AND('Input data (2)'!$C$2=3,$C34&gt;=0),OFFSET('Input data (2)'!M$126,'Input data (2)'!$BL$1-$C34,0),IF(AND('Input data (2)'!$C$2=2,$B34&gt;=0),OFFSET('Input data (2)'!M$126,'Input data (2)'!$BL$1-$B34,0),IF(AND('Input data (2)'!$C$2=1,$A34&gt;=0),OFFSET('Input data (2)'!M$126,'Input data (2)'!$BL$1-$A34,0),""))))</f>
        <v>0</v>
      </c>
      <c r="AY52" s="1">
        <f ca="1">IF(AND('Input data (2)'!$C$2=4,$D34&gt;=0),OFFSET('Input data (2)'!N$126,'Input data (2)'!$BL$1-$D34,0),IF(AND('Input data (2)'!$C$2=3,$C34&gt;=0),OFFSET('Input data (2)'!N$126,'Input data (2)'!$BL$1-$C34,0),IF(AND('Input data (2)'!$C$2=2,$B34&gt;=0),OFFSET('Input data (2)'!N$126,'Input data (2)'!$BL$1-$B34,0),IF(AND('Input data (2)'!$C$2=1,$A34&gt;=0),OFFSET('Input data (2)'!N$126,'Input data (2)'!$BL$1-$A34,0),""))))</f>
        <v>633</v>
      </c>
      <c r="AZ52" s="1">
        <f ca="1">IF(AND('Input data (2)'!$C$2=4,$D34&gt;=0),OFFSET('Input data (2)'!P$126,'Input data (2)'!$BL$1-$D34,0),IF(AND('Input data (2)'!$C$2=3,$C34&gt;=0),OFFSET('Input data (2)'!P$126,'Input data (2)'!$BL$1-$C34,0),IF(AND('Input data (2)'!$C$2=2,$B34&gt;=0),OFFSET('Input data (2)'!P$126,'Input data (2)'!$BL$1-$B34,0),IF(AND('Input data (2)'!$C$2=1,$A34&gt;=0),OFFSET('Input data (2)'!P$126,'Input data (2)'!$BL$1-$A34,0),""))))</f>
        <v>159</v>
      </c>
      <c r="BB52" s="1">
        <f ca="1">IF(AND('Input data (2)'!$C$2=4,$D34&gt;=0),OFFSET('Input data (2)'!BB$126,'Input data (2)'!$BL$1-$D34,0),IF(AND('Input data (2)'!$C$2=3,$C34&gt;=0),OFFSET('Input data (2)'!BB$126,'Input data (2)'!$BL$1-$C34,0),IF(AND('Input data (2)'!$C$2=2,$B34&gt;=0),OFFSET('Input data (2)'!BB$126,'Input data (2)'!$BL$1-$B34,0),IF(AND('Input data (2)'!$C$2=1,$A34&gt;=0),OFFSET('Input data (2)'!BB$126,'Input data (2)'!$BL$1-$A34,0),""))))</f>
        <v>5175</v>
      </c>
      <c r="BC52" s="1">
        <f ca="1">IF(AND('Input data (2)'!$C$2=4,$D34&gt;=0),OFFSET('Input data (2)'!AY$126,'Input data (2)'!$BL$1-$D34,0),IF(AND('Input data (2)'!$C$2=3,$C34&gt;=0),OFFSET('Input data (2)'!AY$126,'Input data (2)'!$BL$1-$C34,0),IF(AND('Input data (2)'!$C$2=2,$B34&gt;=0),OFFSET('Input data (2)'!AY$126,'Input data (2)'!$BL$1-$B34,0),IF(AND('Input data (2)'!$C$2=1,$A34&gt;=0),OFFSET('Input data (2)'!AY$126,'Input data (2)'!$BL$1-$A34,0),""))))</f>
        <v>3099</v>
      </c>
      <c r="BD52" s="1">
        <f ca="1">IF(AND('Input data (2)'!$C$2=4,$D34&gt;=0),OFFSET('Input data (2)'!AZ$126,'Input data (2)'!$BL$1-$D34,0),IF(AND('Input data (2)'!$C$2=3,$C34&gt;=0),OFFSET('Input data (2)'!AZ$126,'Input data (2)'!$BL$1-$C34,0),IF(AND('Input data (2)'!$C$2=2,$B34&gt;=0),OFFSET('Input data (2)'!AZ$126,'Input data (2)'!$BL$1-$B34,0),IF(AND('Input data (2)'!$C$2=1,$A34&gt;=0),OFFSET('Input data (2)'!AZ$126,'Input data (2)'!$BL$1-$A34,0),""))))</f>
        <v>1631</v>
      </c>
      <c r="BE52" s="1">
        <f ca="1">IF(AND('Input data (2)'!$C$2=4,$D34&gt;=0),OFFSET('Input data (2)'!BA$126,'Input data (2)'!$BL$1-$D34,0),IF(AND('Input data (2)'!$C$2=3,$C34&gt;=0),OFFSET('Input data (2)'!BA$126,'Input data (2)'!$BL$1-$C34,0),IF(AND('Input data (2)'!$C$2=2,$B34&gt;=0),OFFSET('Input data (2)'!BA$126,'Input data (2)'!$BL$1-$B34,0),IF(AND('Input data (2)'!$C$2=1,$A34&gt;=0),OFFSET('Input data (2)'!BA$126,'Input data (2)'!$BL$1-$A34,0),""))))</f>
        <v>2076</v>
      </c>
      <c r="BF52" s="1">
        <f ca="1">IF(AND('Input data (2)'!$C$2=4,$D34&gt;=0),OFFSET('Input data (2)'!AP$126,'Input data (2)'!$BL$1-$D34,0),IF(AND('Input data (2)'!$C$2=3,$C34&gt;=0),OFFSET('Input data (2)'!AP$126,'Input data (2)'!$BL$1-$C34,0),IF(AND('Input data (2)'!$C$2=2,$B34&gt;=0),OFFSET('Input data (2)'!AP$126,'Input data (2)'!$BL$1-$B34,0),IF(AND('Input data (2)'!$C$2=1,$A34&gt;=0),OFFSET('Input data (2)'!AP$126,'Input data (2)'!$BL$1-$A34,0),""))))</f>
        <v>224</v>
      </c>
      <c r="BG52" s="1">
        <f ca="1">IF(AND('Input data (2)'!$C$2=4,$D34&gt;=0),OFFSET('Input data (2)'!AN$126,'Input data (2)'!$BL$1-$D34,0),IF(AND('Input data (2)'!$C$2=3,$C34&gt;=0),OFFSET('Input data (2)'!AN$126,'Input data (2)'!$BL$1-$C34,0),IF(AND('Input data (2)'!$C$2=2,$B34&gt;=0),OFFSET('Input data (2)'!AN$126,'Input data (2)'!$BL$1-$B34,0),IF(AND('Input data (2)'!$C$2=1,$A34&gt;=0),OFFSET('Input data (2)'!AN$126,'Input data (2)'!$BL$1-$A34,0),""))))</f>
        <v>154</v>
      </c>
      <c r="BH52" s="1">
        <f ca="1">IF(AND('Input data (2)'!$C$2=4,$D34&gt;=0),OFFSET('Input data (2)'!AO$126,'Input data (2)'!$BL$1-$D34,0),IF(AND('Input data (2)'!$C$2=3,$C34&gt;=0),OFFSET('Input data (2)'!AO$126,'Input data (2)'!$BL$1-$C34,0),IF(AND('Input data (2)'!$C$2=2,$B34&gt;=0),OFFSET('Input data (2)'!AO$126,'Input data (2)'!$BL$1-$B34,0),IF(AND('Input data (2)'!$C$2=1,$A34&gt;=0),OFFSET('Input data (2)'!AO$126,'Input data (2)'!$BL$1-$A34,0),""))))</f>
        <v>70</v>
      </c>
      <c r="BJ52" s="1">
        <f ca="1">IF(AND('Input data (2)'!$C$2=4,$D34&gt;=0),OFFSET('Input data (2)'!AU$126,'Input data (2)'!$BL$1-$D34,0),IF(AND('Input data (2)'!$C$2=3,$C34&gt;=0),OFFSET('Input data (2)'!AU$126,'Input data (2)'!$BL$1-$C34,0),IF(AND('Input data (2)'!$C$2=2,$B34&gt;=0),OFFSET('Input data (2)'!AU$126,'Input data (2)'!$BL$1-$B34,0),IF(AND('Input data (2)'!$C$2=1,$A34&gt;=0),OFFSET('Input data (2)'!AU$126,'Input data (2)'!$BL$1-$A34,0),""))))</f>
        <v>15</v>
      </c>
      <c r="BK52" s="1">
        <f ca="1">IF(AND('Input data (2)'!$C$2=4,$D34&gt;=0),OFFSET('Input data (2)'!AV$126,'Input data (2)'!$BL$1-$D34,0),IF(AND('Input data (2)'!$C$2=3,$C34&gt;=0),OFFSET('Input data (2)'!AV$126,'Input data (2)'!$BL$1-$C34,0),IF(AND('Input data (2)'!$C$2=2,$B34&gt;=0),OFFSET('Input data (2)'!AV$126,'Input data (2)'!$BL$1-$B34,0),IF(AND('Input data (2)'!$C$2=1,$A34&gt;=0),OFFSET('Input data (2)'!AV$126,'Input data (2)'!$BL$1-$A34,0),""))))</f>
        <v>1</v>
      </c>
      <c r="BL52" s="1">
        <f ca="1">IF(AND('Input data (2)'!$C$2=4,$D34&gt;=0),OFFSET('Input data (2)'!AW$126,'Input data (2)'!$BL$1-$D34,0),IF(AND('Input data (2)'!$C$2=3,$C34&gt;=0),OFFSET('Input data (2)'!AW$126,'Input data (2)'!$BL$1-$C34,0),IF(AND('Input data (2)'!$C$2=2,$B34&gt;=0),OFFSET('Input data (2)'!AW$126,'Input data (2)'!$BL$1-$B34,0),IF(AND('Input data (2)'!$C$2=1,$A34&gt;=0),OFFSET('Input data (2)'!AW$126,'Input data (2)'!$BL$1-$A34,0),""))))</f>
        <v>43</v>
      </c>
      <c r="BM52" s="1">
        <f ca="1">IF(AND('Input data (2)'!$C$2=4,$D34&gt;=0),OFFSET('Input data (2)'!AX$126,'Input data (2)'!$BL$1-$D34,0),IF(AND('Input data (2)'!$C$2=3,$C34&gt;=0),OFFSET('Input data (2)'!AX$126,'Input data (2)'!$BL$1-$C34,0),IF(AND('Input data (2)'!$C$2=2,$B34&gt;=0),OFFSET('Input data (2)'!AX$126,'Input data (2)'!$BL$1-$B34,0),IF(AND('Input data (2)'!$C$2=1,$A34&gt;=0),OFFSET('Input data (2)'!AX$126,'Input data (2)'!$BL$1-$A34,0),""))))</f>
        <v>0</v>
      </c>
      <c r="BO52" s="1">
        <f ca="1">IF(AND('Input data (2)'!$C$2=4,$D34&gt;=0),OFFSET('Input data (2)'!BL$126,'Input data (2)'!$BL$1-$D34,0),IF(AND('Input data (2)'!$C$2=3,$C34&gt;=0),OFFSET('Input data (2)'!BL$126,'Input data (2)'!$BL$1-$C34,0),IF(AND('Input data (2)'!$C$2=2,$B34&gt;=0),OFFSET('Input data (2)'!BL$126,'Input data (2)'!$BL$1-$B34,0),IF(AND('Input data (2)'!$C$2=1,$A34&gt;=0),OFFSET('Input data (2)'!BL$126,'Input data (2)'!$BL$1-$A34,0),""))))</f>
        <v>551</v>
      </c>
      <c r="BP52" s="1">
        <f ca="1">IF(AND('Input data (2)'!$C$2=4,$D34&gt;=0),OFFSET('Input data (2)'!BI$126,'Input data (2)'!$BL$1-$D34,0),IF(AND('Input data (2)'!$C$2=3,$C34&gt;=0),OFFSET('Input data (2)'!BI$126,'Input data (2)'!$BL$1-$C34,0),IF(AND('Input data (2)'!$C$2=2,$B34&gt;=0),OFFSET('Input data (2)'!BI$126,'Input data (2)'!$BL$1-$B34,0),IF(AND('Input data (2)'!$C$2=1,$A34&gt;=0),OFFSET('Input data (2)'!BI$126,'Input data (2)'!$BL$1-$A34,0),""))))</f>
        <v>290</v>
      </c>
      <c r="BQ52" s="1" t="str">
        <f ca="1">IF(AND('Input data (2)'!$C$2=4,$D34&gt;=0),OFFSET('Input data (2)'!BK$126,'Input data (2)'!$BL$1-$D34,0),IF(AND('Input data (2)'!$C$2=3,$C34&gt;=0),OFFSET('Input data (2)'!BK$126,'Input data (2)'!$BL$1-$C34,0),IF(AND('Input data (2)'!$C$2=2,$B34&gt;=0),OFFSET('Input data (2)'!BK$126,'Input data (2)'!$BL$1-$B34,0),IF(AND('Input data (2)'!$C$2=1,$A34&gt;=0),OFFSET('Input data (2)'!BK$126,'Input data (2)'!$BL$1-$A34,0),""))))</f>
        <v>..</v>
      </c>
      <c r="BR52" s="1">
        <f ca="1">IF(AND('Input data (2)'!$C$2=4,$D34&gt;=0),OFFSET('Input data (2)'!BJ$126,'Input data (2)'!$BL$1-$D34,0),IF(AND('Input data (2)'!$C$2=3,$C34&gt;=0),OFFSET('Input data (2)'!BJ$126,'Input data (2)'!$BL$1-$C34,0),IF(AND('Input data (2)'!$C$2=2,$B34&gt;=0),OFFSET('Input data (2)'!BJ$126,'Input data (2)'!$BL$1-$B34,0),IF(AND('Input data (2)'!$C$2=1,$A34&gt;=0),OFFSET('Input data (2)'!BJ$126,'Input data (2)'!$BL$1-$A34,0),""))))</f>
        <v>261</v>
      </c>
      <c r="BS52" s="1">
        <f ca="1">IF(AND('Input data (2)'!$C$2=4,$D34&gt;=0),OFFSET('Input data (2)'!BF$126,'Input data (2)'!$BL$1-$D34,0),IF(AND('Input data (2)'!$C$2=3,$C34&gt;=0),OFFSET('Input data (2)'!BF$126,'Input data (2)'!$BL$1-$C34,0),IF(AND('Input data (2)'!$C$2=2,$B34&gt;=0),OFFSET('Input data (2)'!BF$126,'Input data (2)'!$BL$1-$B34,0),IF(AND('Input data (2)'!$C$2=1,$A34&gt;=0),OFFSET('Input data (2)'!BF$126,'Input data (2)'!$BL$1-$A34,0),""))))</f>
        <v>79</v>
      </c>
      <c r="BT52" s="1">
        <f ca="1">IF(AND('Input data (2)'!$C$2=4,$D34&gt;=0),OFFSET('Input data (2)'!BD$126,'Input data (2)'!$BL$1-$D34,0),IF(AND('Input data (2)'!$C$2=3,$C34&gt;=0),OFFSET('Input data (2)'!BD$126,'Input data (2)'!$BL$1-$C34,0),IF(AND('Input data (2)'!$C$2=2,$B34&gt;=0),OFFSET('Input data (2)'!BD$126,'Input data (2)'!$BL$1-$B34,0),IF(AND('Input data (2)'!$C$2=1,$A34&gt;=0),OFFSET('Input data (2)'!BD$126,'Input data (2)'!$BL$1-$A34,0),""))))</f>
        <v>55</v>
      </c>
      <c r="BU52" s="1">
        <f ca="1">IF(AND('Input data (2)'!$C$2=4,$D34&gt;=0),OFFSET('Input data (2)'!BE$126,'Input data (2)'!$BL$1-$D34,0),IF(AND('Input data (2)'!$C$2=3,$C34&gt;=0),OFFSET('Input data (2)'!BE$126,'Input data (2)'!$BL$1-$C34,0),IF(AND('Input data (2)'!$C$2=2,$B34&gt;=0),OFFSET('Input data (2)'!BE$126,'Input data (2)'!$BL$1-$B34,0),IF(AND('Input data (2)'!$C$2=1,$A34&gt;=0),OFFSET('Input data (2)'!BE$126,'Input data (2)'!$BL$1-$A34,0),""))))</f>
        <v>24</v>
      </c>
      <c r="BW52" s="7">
        <f ca="1">IF(AND('Input data (2)'!$C$2=4,$D34&gt;=0),OFFSET('Input data (2)'!J$126,'Input data (2)'!$BL$1-$D34,0),IF(AND('Input data (2)'!$C$2=3,$C34&gt;=0),OFFSET('Input data (2)'!J$126,'Input data (2)'!$BL$1-$C34,0),IF(AND('Input data (2)'!$C$2=2,$B34&gt;=0),OFFSET('Input data (2)'!J$126,'Input data (2)'!$BL$1-$B34,0),IF(AND('Input data (2)'!$C$2=1,$A34&gt;=0),OFFSET('Input data (2)'!J$126,'Input data (2)'!$BL$1-$A34,0),""))))</f>
        <v>0.82413131697869224</v>
      </c>
      <c r="BX52" s="7">
        <f ca="1">IF(AND('Input data (2)'!$C$2=4,$D34&gt;=0),OFFSET('Input data (2)'!K$126,'Input data (2)'!$BL$1-$D34,0),IF(AND('Input data (2)'!$C$2=3,$C34&gt;=0),OFFSET('Input data (2)'!K$126,'Input data (2)'!$BL$1-$C34,0),IF(AND('Input data (2)'!$C$2=2,$B34&gt;=0),OFFSET('Input data (2)'!K$126,'Input data (2)'!$BL$1-$B34,0),IF(AND('Input data (2)'!$C$2=1,$A34&gt;=0),OFFSET('Input data (2)'!K$126,'Input data (2)'!$BL$1-$A34,0),""))))</f>
        <v>0.74400835595013837</v>
      </c>
      <c r="BY52" s="7">
        <f ca="1">IF(AND('Input data (2)'!$C$2=4,$D34&gt;=0),OFFSET('Input data (2)'!AS$126,'Input data (2)'!$BL$1-$D34,0),IF(AND('Input data (2)'!$C$2=3,$C34&gt;=0),OFFSET('Input data (2)'!AS$126,'Input data (2)'!$BL$1-$C34,0),IF(AND('Input data (2)'!$C$2=2,$B34&gt;=0),OFFSET('Input data (2)'!AS$126,'Input data (2)'!$BL$1-$B34,0),IF(AND('Input data (2)'!$C$2=1,$A34&gt;=0),OFFSET('Input data (2)'!AS$126,'Input data (2)'!$BL$1-$A34,0),""))))</f>
        <v>0.73276696018054366</v>
      </c>
      <c r="BZ52" s="7">
        <f ca="1">IF(AND('Input data (2)'!$C$2=4,$D34&gt;=0),OFFSET('Input data (2)'!AT$126,'Input data (2)'!$BL$1-$D34,0),IF(AND('Input data (2)'!$C$2=3,$C34&gt;=0),OFFSET('Input data (2)'!AT$126,'Input data (2)'!$BL$1-$C34,0),IF(AND('Input data (2)'!$C$2=2,$B34&gt;=0),OFFSET('Input data (2)'!AT$126,'Input data (2)'!$BL$1-$B34,0),IF(AND('Input data (2)'!$C$2=1,$A34&gt;=0),OFFSET('Input data (2)'!AT$126,'Input data (2)'!$BL$1-$A34,0),""))))</f>
        <v>0.64576868565679768</v>
      </c>
      <c r="CB52" s="122"/>
      <c r="CC52" s="122"/>
      <c r="CD52" s="122"/>
      <c r="CE52" s="122"/>
      <c r="CK52" s="1"/>
      <c r="CL52" s="1"/>
      <c r="CM52" s="1"/>
      <c r="CN52" s="1"/>
      <c r="CO52" s="1"/>
      <c r="CP52" s="1"/>
    </row>
    <row r="53" spans="5:94" x14ac:dyDescent="0.15">
      <c r="E53" s="1" t="str">
        <f>F53&amp;G53</f>
        <v>2010Q4</v>
      </c>
      <c r="F53" s="1">
        <f>F48+1</f>
        <v>2010</v>
      </c>
      <c r="G53" s="1" t="s">
        <v>4</v>
      </c>
      <c r="H53" s="1">
        <f>VLOOKUP($E53,'Input data (2)'!$A:$BL,'Output data - DO NOT TOUCH (2)'!H$71,FALSE)</f>
        <v>3874</v>
      </c>
      <c r="I53" s="1">
        <f>VLOOKUP($E53,'Input data (2)'!$A:$BL,'Output data - DO NOT TOUCH (2)'!I$71,FALSE)</f>
        <v>1195</v>
      </c>
      <c r="J53" s="1">
        <f>VLOOKUP($E53,'Input data (2)'!$A:$BL,'Output data - DO NOT TOUCH (2)'!J$71,FALSE)</f>
        <v>2679</v>
      </c>
      <c r="K53" s="1">
        <f>VLOOKUP($E53,'Input data (2)'!$A:$BL,'Output data - DO NOT TOUCH (2)'!K$71,FALSE)</f>
        <v>3999</v>
      </c>
      <c r="L53" s="1">
        <f>VLOOKUP($E53,'Input data (2)'!$A:$BL,'Output data - DO NOT TOUCH (2)'!L$71,FALSE)</f>
        <v>1179</v>
      </c>
      <c r="M53" s="1">
        <f>VLOOKUP($E53,'Input data (2)'!$A:$BL,'Output data - DO NOT TOUCH (2)'!M$71,FALSE)</f>
        <v>2820</v>
      </c>
      <c r="O53" s="119">
        <f ca="1">IF(AND('Input data (2)'!$C$2=4,$D35&gt;=0),OFFSET('Input data (2)'!O$126,'Input data (2)'!$BL$1-$D35,0),IF(AND('Input data (2)'!$C$2=3,$C35&gt;=0),OFFSET('Input data (2)'!O$126,'Input data (2)'!$BL$1-$C35,0),IF(AND('Input data (2)'!$C$2=2,$B35&gt;=0),OFFSET('Input data (2)'!O$126,'Input data (2)'!$BL$1-$B35,0),IF(AND('Input data (2)'!$C$2=1,$A35&gt;=0),OFFSET('Input data (2)'!O$126,'Input data (2)'!$BL$1-$A35,0),""))))</f>
        <v>282</v>
      </c>
      <c r="Q53" s="1">
        <f ca="1">IF(AND('Input data (2)'!$C$2=4,$D35&gt;=0),OFFSET('Input data (2)'!AC$126,'Input data (2)'!$BL$1-$D35,0),IF(AND('Input data (2)'!$C$2=3,$C35&gt;=0),OFFSET('Input data (2)'!AC$126,'Input data (2)'!$BL$1-$C35,0),IF(AND('Input data (2)'!$C$2=2,$B35&gt;=0),OFFSET('Input data (2)'!AC$126,'Input data (2)'!$BL$1-$B35,0),IF(AND('Input data (2)'!$C$2=1,$A35&gt;=0),OFFSET('Input data (2)'!AC$126,'Input data (2)'!$BL$1-$A35,0),""))))</f>
        <v>30685</v>
      </c>
      <c r="R53" s="1">
        <f ca="1">IF(AND('Input data (2)'!$C$2=4,$D35&gt;=0),OFFSET('Input data (2)'!Q$126,'Input data (2)'!$BL$1-$D35,0),IF(AND('Input data (2)'!$C$2=3,$C35&gt;=0),OFFSET('Input data (2)'!Q$126,'Input data (2)'!$BL$1-$C35,0),IF(AND('Input data (2)'!$C$2=2,$B35&gt;=0),OFFSET('Input data (2)'!Q$126,'Input data (2)'!$BL$1-$B35,0),IF(AND('Input data (2)'!$C$2=1,$A35&gt;=0),OFFSET('Input data (2)'!Q$126,'Input data (2)'!$BL$1-$A35,0),""))))</f>
        <v>12028</v>
      </c>
      <c r="S53" s="1">
        <f ca="1">IF(AND('Input data (2)'!$C$2=4,$D35&gt;=0),OFFSET('Input data (2)'!R$126,'Input data (2)'!$BL$1-$D35,0),IF(AND('Input data (2)'!$C$2=3,$C35&gt;=0),OFFSET('Input data (2)'!R$126,'Input data (2)'!$BL$1-$C35,0),IF(AND('Input data (2)'!$C$2=2,$B35&gt;=0),OFFSET('Input data (2)'!R$126,'Input data (2)'!$BL$1-$B35,0),IF(AND('Input data (2)'!$C$2=1,$A35&gt;=0),OFFSET('Input data (2)'!R$126,'Input data (2)'!$BL$1-$A35,0),""))))</f>
        <v>6172</v>
      </c>
      <c r="T53" s="1">
        <f ca="1">IF(AND('Input data (2)'!$C$2=4,$D35&gt;=0),OFFSET('Input data (2)'!AA$126,'Input data (2)'!$BL$1-$D35,0),IF(AND('Input data (2)'!$C$2=3,$C35&gt;=0),OFFSET('Input data (2)'!AA$126,'Input data (2)'!$BL$1-$C35,0),IF(AND('Input data (2)'!$C$2=2,$B35&gt;=0),OFFSET('Input data (2)'!AA$126,'Input data (2)'!$BL$1-$B35,0),IF(AND('Input data (2)'!$C$2=1,$A35&gt;=0),OFFSET('Input data (2)'!AA$126,'Input data (2)'!$BL$1-$A35,0),""))))</f>
        <v>12485</v>
      </c>
      <c r="U53" s="1" t="str">
        <f ca="1">IF(AND('Input data (2)'!$C$2=4,$D35&gt;=0),OFFSET('Input data (2)'!AL$126,'Input data (2)'!$BL$1-$D35,0),IF(AND('Input data (2)'!$C$2=3,$C35&gt;=0),OFFSET('Input data (2)'!AL$126,'Input data (2)'!$BL$1-$C35,0),IF(AND('Input data (2)'!$C$2=2,$B35&gt;=0),OFFSET('Input data (2)'!AL$126,'Input data (2)'!$BL$1-$B35,0),IF(AND('Input data (2)'!$C$2=1,$A35&gt;=0),OFFSET('Input data (2)'!AL$126,'Input data (2)'!$BL$1-$A35,0),""))))</f>
        <v>:</v>
      </c>
      <c r="V53" s="1">
        <f ca="1">IF(AND('Input data (2)'!$C$2=4,$D35&gt;=0),OFFSET('Input data (2)'!AJ$126,'Input data (2)'!$BL$1-$D35,0),IF(AND('Input data (2)'!$C$2=3,$C35&gt;=0),OFFSET('Input data (2)'!AJ$126,'Input data (2)'!$BL$1-$C35,0),IF(AND('Input data (2)'!$C$2=2,$B35&gt;=0),OFFSET('Input data (2)'!AJ$126,'Input data (2)'!$BL$1-$B35,0),IF(AND('Input data (2)'!$C$2=1,$A35&gt;=0),OFFSET('Input data (2)'!AJ$126,'Input data (2)'!$BL$1-$A35,0),""))))</f>
        <v>12704</v>
      </c>
      <c r="W53" s="1">
        <f ca="1">IF(AND('Input data (2)'!$C$2=4,$D35&gt;=0),OFFSET('Input data (2)'!AK$126,'Input data (2)'!$BL$1-$D35,0),IF(AND('Input data (2)'!$C$2=3,$C35&gt;=0),OFFSET('Input data (2)'!AK$126,'Input data (2)'!$BL$1-$C35,0),IF(AND('Input data (2)'!$C$2=2,$B35&gt;=0),OFFSET('Input data (2)'!AK$126,'Input data (2)'!$BL$1-$B35,0),IF(AND('Input data (2)'!$C$2=1,$A35&gt;=0),OFFSET('Input data (2)'!AK$126,'Input data (2)'!$BL$1-$A35,0),""))))</f>
        <v>12299</v>
      </c>
      <c r="Y53" s="1">
        <f ca="1">IF(AND('Input data (2)'!$C$2=4,$D35&gt;=0),OFFSET('Input data (2)'!Q$126,'Input data (2)'!$BL$1-$D35,0),IF(AND('Input data (2)'!$C$2=3,$C35&gt;=0),OFFSET('Input data (2)'!Q$126,'Input data (2)'!$BL$1-$C35,0),IF(AND('Input data (2)'!$C$2=2,$B35&gt;=0),OFFSET('Input data (2)'!Q$126,'Input data (2)'!$BL$1-$B35,0),IF(AND('Input data (2)'!$C$2=1,$A35&gt;=0),OFFSET('Input data (2)'!Q$126,'Input data (2)'!$BL$1-$A35,0),""))))</f>
        <v>12028</v>
      </c>
      <c r="Z53" s="1">
        <f ca="1">IF(AND('Input data (2)'!$C$2=4,$D35&gt;=0),OFFSET('Input data (2)'!S$126,'Input data (2)'!$BL$1-$D35,0),IF(AND('Input data (2)'!$C$2=3,$C35&gt;=0),OFFSET('Input data (2)'!S$126,'Input data (2)'!$BL$1-$C35,0),IF(AND('Input data (2)'!$C$2=2,$B35&gt;=0),OFFSET('Input data (2)'!S$126,'Input data (2)'!$BL$1-$B35,0),IF(AND('Input data (2)'!$C$2=1,$A35&gt;=0),OFFSET('Input data (2)'!S$126,'Input data (2)'!$BL$1-$A35,0),""))))</f>
        <v>10270</v>
      </c>
      <c r="AA53" s="1">
        <f ca="1">IF(AND('Input data (2)'!$C$2=4,$D35&gt;=0),OFFSET('Input data (2)'!T$126,'Input data (2)'!$BL$1-$D35,0),IF(AND('Input data (2)'!$C$2=3,$C35&gt;=0),OFFSET('Input data (2)'!T$126,'Input data (2)'!$BL$1-$C35,0),IF(AND('Input data (2)'!$C$2=2,$B35&gt;=0),OFFSET('Input data (2)'!T$126,'Input data (2)'!$BL$1-$B35,0),IF(AND('Input data (2)'!$C$2=1,$A35&gt;=0),OFFSET('Input data (2)'!T$126,'Input data (2)'!$BL$1-$A35,0),""))))</f>
        <v>85.384103757898231</v>
      </c>
      <c r="AB53" s="1">
        <f ca="1">IF(AND('Input data (2)'!$C$2=4,$D35&gt;=0),OFFSET('Input data (2)'!U$126,'Input data (2)'!$BL$1-$D35,0),IF(AND('Input data (2)'!$C$2=3,$C35&gt;=0),OFFSET('Input data (2)'!U$126,'Input data (2)'!$BL$1-$C35,0),IF(AND('Input data (2)'!$C$2=2,$B35&gt;=0),OFFSET('Input data (2)'!U$126,'Input data (2)'!$BL$1-$B35,0),IF(AND('Input data (2)'!$C$2=1,$A35&gt;=0),OFFSET('Input data (2)'!U$126,'Input data (2)'!$BL$1-$A35,0),""))))</f>
        <v>1758</v>
      </c>
      <c r="AC53" s="1">
        <f ca="1">IF(AND('Input data (2)'!$C$2=4,$D35&gt;=0),OFFSET('Input data (2)'!V$126,'Input data (2)'!$BL$1-$D35,0),IF(AND('Input data (2)'!$C$2=3,$C35&gt;=0),OFFSET('Input data (2)'!V$126,'Input data (2)'!$BL$1-$C35,0),IF(AND('Input data (2)'!$C$2=2,$B35&gt;=0),OFFSET('Input data (2)'!V$126,'Input data (2)'!$BL$1-$B35,0),IF(AND('Input data (2)'!$C$2=1,$A35&gt;=0),OFFSET('Input data (2)'!V$126,'Input data (2)'!$BL$1-$A35,0),""))))</f>
        <v>14.615896242101762</v>
      </c>
      <c r="AD53" s="1">
        <f ca="1">IF(AND('Input data (2)'!$C$2=4,$D35&gt;=0),OFFSET('Input data (2)'!Q$126,'Input data (2)'!$BL$1-$D35,0),IF(AND('Input data (2)'!$C$2=3,$C35&gt;=0),OFFSET('Input data (2)'!Q$126,'Input data (2)'!$BL$1-$C35,0),IF(AND('Input data (2)'!$C$2=2,$B35&gt;=0),OFFSET('Input data (2)'!Q$126,'Input data (2)'!$BL$1-$B35,0),IF(AND('Input data (2)'!$C$2=1,$A35&gt;=0),OFFSET('Input data (2)'!Q$126,'Input data (2)'!$BL$1-$A35,0),""))))</f>
        <v>12028</v>
      </c>
      <c r="AE53" s="1">
        <f ca="1">IF(AND('Input data (2)'!$C$2=4,$D35&gt;=0),OFFSET('Input data (2)'!W$126,'Input data (2)'!$BL$1-$D35,0),IF(AND('Input data (2)'!$C$2=3,$C35&gt;=0),OFFSET('Input data (2)'!W$126,'Input data (2)'!$BL$1-$C35,0),IF(AND('Input data (2)'!$C$2=2,$B35&gt;=0),OFFSET('Input data (2)'!W$126,'Input data (2)'!$BL$1-$B35,0),IF(AND('Input data (2)'!$C$2=1,$A35&gt;=0),OFFSET('Input data (2)'!W$126,'Input data (2)'!$BL$1-$A35,0),""))))</f>
        <v>2275</v>
      </c>
      <c r="AF53" s="1">
        <f ca="1">IF(AND('Input data (2)'!$C$2=4,$D35&gt;=0),OFFSET('Input data (2)'!X$126,'Input data (2)'!$BL$1-$D35,0),IF(AND('Input data (2)'!$C$2=3,$C35&gt;=0),OFFSET('Input data (2)'!X$126,'Input data (2)'!$BL$1-$C35,0),IF(AND('Input data (2)'!$C$2=2,$B35&gt;=0),OFFSET('Input data (2)'!X$126,'Input data (2)'!$BL$1-$B35,0),IF(AND('Input data (2)'!$C$2=1,$A35&gt;=0),OFFSET('Input data (2)'!X$126,'Input data (2)'!$BL$1-$A35,0),""))))</f>
        <v>18.91420019953442</v>
      </c>
      <c r="AG53" s="1">
        <f ca="1">IF(AND('Input data (2)'!$C$2=4,$D35&gt;=0),OFFSET('Input data (2)'!Y$126,'Input data (2)'!$BL$1-$D35,0),IF(AND('Input data (2)'!$C$2=3,$C35&gt;=0),OFFSET('Input data (2)'!Y$126,'Input data (2)'!$BL$1-$C35,0),IF(AND('Input data (2)'!$C$2=2,$B35&gt;=0),OFFSET('Input data (2)'!Y$126,'Input data (2)'!$BL$1-$B35,0),IF(AND('Input data (2)'!$C$2=1,$A35&gt;=0),OFFSET('Input data (2)'!Y$126,'Input data (2)'!$BL$1-$A35,0),""))))</f>
        <v>9753</v>
      </c>
      <c r="AH53" s="1">
        <f ca="1">IF(AND('Input data (2)'!$C$2=4,$D35&gt;=0),OFFSET('Input data (2)'!Z$126,'Input data (2)'!$BL$1-$D35,0),IF(AND('Input data (2)'!$C$2=3,$C35&gt;=0),OFFSET('Input data (2)'!Z$126,'Input data (2)'!$BL$1-$C35,0),IF(AND('Input data (2)'!$C$2=2,$B35&gt;=0),OFFSET('Input data (2)'!Z$126,'Input data (2)'!$BL$1-$B35,0),IF(AND('Input data (2)'!$C$2=1,$A35&gt;=0),OFFSET('Input data (2)'!Z$126,'Input data (2)'!$BL$1-$A35,0),""))))</f>
        <v>81.08579980046558</v>
      </c>
      <c r="AI53" s="3"/>
      <c r="AJ53" s="124">
        <f ca="1">IF(AND('Input data (2)'!$C$2=4,$D35&gt;=0),OFFSET('Input data (2)'!AF$126,'Input data (2)'!$BL$1-$D35,0),IF(AND('Input data (2)'!$C$2=3,$C35&gt;=0),OFFSET('Input data (2)'!AF$126,'Input data (2)'!$BL$1-$C35,0),IF(AND('Input data (2)'!$C$2=2,$B35&gt;=0),OFFSET('Input data (2)'!AF$126,'Input data (2)'!$BL$1-$B35,0),IF(AND('Input data (2)'!$C$2=1,$A35&gt;=0),OFFSET('Input data (2)'!AF$126,'Input data (2)'!$BL$1-$A35,0),""))))</f>
        <v>3512</v>
      </c>
      <c r="AK53" s="124">
        <f ca="1">IF(AND('Input data (2)'!$C$2=4,$D35&gt;=0),OFFSET('Input data (2)'!AD$126,'Input data (2)'!$BL$1-$D35,0),IF(AND('Input data (2)'!$C$2=3,$C35&gt;=0),OFFSET('Input data (2)'!AD$126,'Input data (2)'!$BL$1-$C35,0),IF(AND('Input data (2)'!$C$2=2,$B35&gt;=0),OFFSET('Input data (2)'!AD$126,'Input data (2)'!$BL$1-$B35,0),IF(AND('Input data (2)'!$C$2=1,$A35&gt;=0),OFFSET('Input data (2)'!AD$126,'Input data (2)'!$BL$1-$A35,0),""))))</f>
        <v>12</v>
      </c>
      <c r="AL53" s="124">
        <f ca="1">IF(AND('Input data (2)'!$C$2=4,$D35&gt;=0),OFFSET('Input data (2)'!AE$126,'Input data (2)'!$BL$1-$D35,0),IF(AND('Input data (2)'!$C$2=3,$C35&gt;=0),OFFSET('Input data (2)'!AE$126,'Input data (2)'!$BL$1-$C35,0),IF(AND('Input data (2)'!$C$2=2,$B35&gt;=0),OFFSET('Input data (2)'!AE$126,'Input data (2)'!$BL$1-$B35,0),IF(AND('Input data (2)'!$C$2=1,$A35&gt;=0),OFFSET('Input data (2)'!AE$126,'Input data (2)'!$BL$1-$A35,0),""))))</f>
        <v>3500</v>
      </c>
      <c r="AW53" s="1">
        <f ca="1">IF(AND('Input data (2)'!$C$2=4,$D35&gt;=0),OFFSET('Input data (2)'!L$126,'Input data (2)'!$BL$1-$D35,0),IF(AND('Input data (2)'!$C$2=3,$C35&gt;=0),OFFSET('Input data (2)'!L$126,'Input data (2)'!$BL$1-$C35,0),IF(AND('Input data (2)'!$C$2=2,$B35&gt;=0),OFFSET('Input data (2)'!L$126,'Input data (2)'!$BL$1-$B35,0),IF(AND('Input data (2)'!$C$2=1,$A35&gt;=0),OFFSET('Input data (2)'!L$126,'Input data (2)'!$BL$1-$A35,0),""))))</f>
        <v>302</v>
      </c>
      <c r="AX53" s="1">
        <f ca="1">IF(AND('Input data (2)'!$C$2=4,$D35&gt;=0),OFFSET('Input data (2)'!M$126,'Input data (2)'!$BL$1-$D35,0),IF(AND('Input data (2)'!$C$2=3,$C35&gt;=0),OFFSET('Input data (2)'!M$126,'Input data (2)'!$BL$1-$C35,0),IF(AND('Input data (2)'!$C$2=2,$B35&gt;=0),OFFSET('Input data (2)'!M$126,'Input data (2)'!$BL$1-$B35,0),IF(AND('Input data (2)'!$C$2=1,$A35&gt;=0),OFFSET('Input data (2)'!M$126,'Input data (2)'!$BL$1-$A35,0),""))))</f>
        <v>0</v>
      </c>
      <c r="AY53" s="1">
        <f ca="1">IF(AND('Input data (2)'!$C$2=4,$D35&gt;=0),OFFSET('Input data (2)'!N$126,'Input data (2)'!$BL$1-$D35,0),IF(AND('Input data (2)'!$C$2=3,$C35&gt;=0),OFFSET('Input data (2)'!N$126,'Input data (2)'!$BL$1-$C35,0),IF(AND('Input data (2)'!$C$2=2,$B35&gt;=0),OFFSET('Input data (2)'!N$126,'Input data (2)'!$BL$1-$B35,0),IF(AND('Input data (2)'!$C$2=1,$A35&gt;=0),OFFSET('Input data (2)'!N$126,'Input data (2)'!$BL$1-$A35,0),""))))</f>
        <v>642</v>
      </c>
      <c r="AZ53" s="1">
        <f ca="1">IF(AND('Input data (2)'!$C$2=4,$D35&gt;=0),OFFSET('Input data (2)'!P$126,'Input data (2)'!$BL$1-$D35,0),IF(AND('Input data (2)'!$C$2=3,$C35&gt;=0),OFFSET('Input data (2)'!P$126,'Input data (2)'!$BL$1-$C35,0),IF(AND('Input data (2)'!$C$2=2,$B35&gt;=0),OFFSET('Input data (2)'!P$126,'Input data (2)'!$BL$1-$B35,0),IF(AND('Input data (2)'!$C$2=1,$A35&gt;=0),OFFSET('Input data (2)'!P$126,'Input data (2)'!$BL$1-$A35,0),""))))</f>
        <v>170</v>
      </c>
      <c r="BB53" s="1">
        <f ca="1">IF(AND('Input data (2)'!$C$2=4,$D35&gt;=0),OFFSET('Input data (2)'!BB$126,'Input data (2)'!$BL$1-$D35,0),IF(AND('Input data (2)'!$C$2=3,$C35&gt;=0),OFFSET('Input data (2)'!BB$126,'Input data (2)'!$BL$1-$C35,0),IF(AND('Input data (2)'!$C$2=2,$B35&gt;=0),OFFSET('Input data (2)'!BB$126,'Input data (2)'!$BL$1-$B35,0),IF(AND('Input data (2)'!$C$2=1,$A35&gt;=0),OFFSET('Input data (2)'!BB$126,'Input data (2)'!$BL$1-$A35,0),""))))</f>
        <v>4591</v>
      </c>
      <c r="BC53" s="1">
        <f ca="1">IF(AND('Input data (2)'!$C$2=4,$D35&gt;=0),OFFSET('Input data (2)'!AY$126,'Input data (2)'!$BL$1-$D35,0),IF(AND('Input data (2)'!$C$2=3,$C35&gt;=0),OFFSET('Input data (2)'!AY$126,'Input data (2)'!$BL$1-$C35,0),IF(AND('Input data (2)'!$C$2=2,$B35&gt;=0),OFFSET('Input data (2)'!AY$126,'Input data (2)'!$BL$1-$B35,0),IF(AND('Input data (2)'!$C$2=1,$A35&gt;=0),OFFSET('Input data (2)'!AY$126,'Input data (2)'!$BL$1-$A35,0),""))))</f>
        <v>2501</v>
      </c>
      <c r="BD53" s="1">
        <f ca="1">IF(AND('Input data (2)'!$C$2=4,$D35&gt;=0),OFFSET('Input data (2)'!AZ$126,'Input data (2)'!$BL$1-$D35,0),IF(AND('Input data (2)'!$C$2=3,$C35&gt;=0),OFFSET('Input data (2)'!AZ$126,'Input data (2)'!$BL$1-$C35,0),IF(AND('Input data (2)'!$C$2=2,$B35&gt;=0),OFFSET('Input data (2)'!AZ$126,'Input data (2)'!$BL$1-$B35,0),IF(AND('Input data (2)'!$C$2=1,$A35&gt;=0),OFFSET('Input data (2)'!AZ$126,'Input data (2)'!$BL$1-$A35,0),""))))</f>
        <v>1368</v>
      </c>
      <c r="BE53" s="1">
        <f ca="1">IF(AND('Input data (2)'!$C$2=4,$D35&gt;=0),OFFSET('Input data (2)'!BA$126,'Input data (2)'!$BL$1-$D35,0),IF(AND('Input data (2)'!$C$2=3,$C35&gt;=0),OFFSET('Input data (2)'!BA$126,'Input data (2)'!$BL$1-$C35,0),IF(AND('Input data (2)'!$C$2=2,$B35&gt;=0),OFFSET('Input data (2)'!BA$126,'Input data (2)'!$BL$1-$B35,0),IF(AND('Input data (2)'!$C$2=1,$A35&gt;=0),OFFSET('Input data (2)'!BA$126,'Input data (2)'!$BL$1-$A35,0),""))))</f>
        <v>2090</v>
      </c>
      <c r="BF53" s="1">
        <f ca="1">IF(AND('Input data (2)'!$C$2=4,$D35&gt;=0),OFFSET('Input data (2)'!AP$126,'Input data (2)'!$BL$1-$D35,0),IF(AND('Input data (2)'!$C$2=3,$C35&gt;=0),OFFSET('Input data (2)'!AP$126,'Input data (2)'!$BL$1-$C35,0),IF(AND('Input data (2)'!$C$2=2,$B35&gt;=0),OFFSET('Input data (2)'!AP$126,'Input data (2)'!$BL$1-$B35,0),IF(AND('Input data (2)'!$C$2=1,$A35&gt;=0),OFFSET('Input data (2)'!AP$126,'Input data (2)'!$BL$1-$A35,0),""))))</f>
        <v>245</v>
      </c>
      <c r="BG53" s="1">
        <f ca="1">IF(AND('Input data (2)'!$C$2=4,$D35&gt;=0),OFFSET('Input data (2)'!AN$126,'Input data (2)'!$BL$1-$D35,0),IF(AND('Input data (2)'!$C$2=3,$C35&gt;=0),OFFSET('Input data (2)'!AN$126,'Input data (2)'!$BL$1-$C35,0),IF(AND('Input data (2)'!$C$2=2,$B35&gt;=0),OFFSET('Input data (2)'!AN$126,'Input data (2)'!$BL$1-$B35,0),IF(AND('Input data (2)'!$C$2=1,$A35&gt;=0),OFFSET('Input data (2)'!AN$126,'Input data (2)'!$BL$1-$A35,0),""))))</f>
        <v>164</v>
      </c>
      <c r="BH53" s="1">
        <f ca="1">IF(AND('Input data (2)'!$C$2=4,$D35&gt;=0),OFFSET('Input data (2)'!AO$126,'Input data (2)'!$BL$1-$D35,0),IF(AND('Input data (2)'!$C$2=3,$C35&gt;=0),OFFSET('Input data (2)'!AO$126,'Input data (2)'!$BL$1-$C35,0),IF(AND('Input data (2)'!$C$2=2,$B35&gt;=0),OFFSET('Input data (2)'!AO$126,'Input data (2)'!$BL$1-$B35,0),IF(AND('Input data (2)'!$C$2=1,$A35&gt;=0),OFFSET('Input data (2)'!AO$126,'Input data (2)'!$BL$1-$A35,0),""))))</f>
        <v>81</v>
      </c>
      <c r="BJ53" s="1">
        <f ca="1">IF(AND('Input data (2)'!$C$2=4,$D35&gt;=0),OFFSET('Input data (2)'!AU$126,'Input data (2)'!$BL$1-$D35,0),IF(AND('Input data (2)'!$C$2=3,$C35&gt;=0),OFFSET('Input data (2)'!AU$126,'Input data (2)'!$BL$1-$C35,0),IF(AND('Input data (2)'!$C$2=2,$B35&gt;=0),OFFSET('Input data (2)'!AU$126,'Input data (2)'!$BL$1-$B35,0),IF(AND('Input data (2)'!$C$2=1,$A35&gt;=0),OFFSET('Input data (2)'!AU$126,'Input data (2)'!$BL$1-$A35,0),""))))</f>
        <v>6</v>
      </c>
      <c r="BK53" s="1">
        <f ca="1">IF(AND('Input data (2)'!$C$2=4,$D35&gt;=0),OFFSET('Input data (2)'!AV$126,'Input data (2)'!$BL$1-$D35,0),IF(AND('Input data (2)'!$C$2=3,$C35&gt;=0),OFFSET('Input data (2)'!AV$126,'Input data (2)'!$BL$1-$C35,0),IF(AND('Input data (2)'!$C$2=2,$B35&gt;=0),OFFSET('Input data (2)'!AV$126,'Input data (2)'!$BL$1-$B35,0),IF(AND('Input data (2)'!$C$2=1,$A35&gt;=0),OFFSET('Input data (2)'!AV$126,'Input data (2)'!$BL$1-$A35,0),""))))</f>
        <v>0</v>
      </c>
      <c r="BL53" s="1">
        <f ca="1">IF(AND('Input data (2)'!$C$2=4,$D35&gt;=0),OFFSET('Input data (2)'!AW$126,'Input data (2)'!$BL$1-$D35,0),IF(AND('Input data (2)'!$C$2=3,$C35&gt;=0),OFFSET('Input data (2)'!AW$126,'Input data (2)'!$BL$1-$C35,0),IF(AND('Input data (2)'!$C$2=2,$B35&gt;=0),OFFSET('Input data (2)'!AW$126,'Input data (2)'!$BL$1-$B35,0),IF(AND('Input data (2)'!$C$2=1,$A35&gt;=0),OFFSET('Input data (2)'!AW$126,'Input data (2)'!$BL$1-$A35,0),""))))</f>
        <v>55</v>
      </c>
      <c r="BM53" s="1">
        <f ca="1">IF(AND('Input data (2)'!$C$2=4,$D35&gt;=0),OFFSET('Input data (2)'!AX$126,'Input data (2)'!$BL$1-$D35,0),IF(AND('Input data (2)'!$C$2=3,$C35&gt;=0),OFFSET('Input data (2)'!AX$126,'Input data (2)'!$BL$1-$C35,0),IF(AND('Input data (2)'!$C$2=2,$B35&gt;=0),OFFSET('Input data (2)'!AX$126,'Input data (2)'!$BL$1-$B35,0),IF(AND('Input data (2)'!$C$2=1,$A35&gt;=0),OFFSET('Input data (2)'!AX$126,'Input data (2)'!$BL$1-$A35,0),""))))</f>
        <v>4</v>
      </c>
      <c r="BO53" s="1">
        <f ca="1">IF(AND('Input data (2)'!$C$2=4,$D35&gt;=0),OFFSET('Input data (2)'!BL$126,'Input data (2)'!$BL$1-$D35,0),IF(AND('Input data (2)'!$C$2=3,$C35&gt;=0),OFFSET('Input data (2)'!BL$126,'Input data (2)'!$BL$1-$C35,0),IF(AND('Input data (2)'!$C$2=2,$B35&gt;=0),OFFSET('Input data (2)'!BL$126,'Input data (2)'!$BL$1-$B35,0),IF(AND('Input data (2)'!$C$2=1,$A35&gt;=0),OFFSET('Input data (2)'!BL$126,'Input data (2)'!$BL$1-$A35,0),""))))</f>
        <v>582</v>
      </c>
      <c r="BP53" s="1">
        <f ca="1">IF(AND('Input data (2)'!$C$2=4,$D35&gt;=0),OFFSET('Input data (2)'!BI$126,'Input data (2)'!$BL$1-$D35,0),IF(AND('Input data (2)'!$C$2=3,$C35&gt;=0),OFFSET('Input data (2)'!BI$126,'Input data (2)'!$BL$1-$C35,0),IF(AND('Input data (2)'!$C$2=2,$B35&gt;=0),OFFSET('Input data (2)'!BI$126,'Input data (2)'!$BL$1-$B35,0),IF(AND('Input data (2)'!$C$2=1,$A35&gt;=0),OFFSET('Input data (2)'!BI$126,'Input data (2)'!$BL$1-$A35,0),""))))</f>
        <v>352</v>
      </c>
      <c r="BQ53" s="1" t="str">
        <f ca="1">IF(AND('Input data (2)'!$C$2=4,$D35&gt;=0),OFFSET('Input data (2)'!BK$126,'Input data (2)'!$BL$1-$D35,0),IF(AND('Input data (2)'!$C$2=3,$C35&gt;=0),OFFSET('Input data (2)'!BK$126,'Input data (2)'!$BL$1-$C35,0),IF(AND('Input data (2)'!$C$2=2,$B35&gt;=0),OFFSET('Input data (2)'!BK$126,'Input data (2)'!$BL$1-$B35,0),IF(AND('Input data (2)'!$C$2=1,$A35&gt;=0),OFFSET('Input data (2)'!BK$126,'Input data (2)'!$BL$1-$A35,0),""))))</f>
        <v>..</v>
      </c>
      <c r="BR53" s="1">
        <f ca="1">IF(AND('Input data (2)'!$C$2=4,$D35&gt;=0),OFFSET('Input data (2)'!BJ$126,'Input data (2)'!$BL$1-$D35,0),IF(AND('Input data (2)'!$C$2=3,$C35&gt;=0),OFFSET('Input data (2)'!BJ$126,'Input data (2)'!$BL$1-$C35,0),IF(AND('Input data (2)'!$C$2=2,$B35&gt;=0),OFFSET('Input data (2)'!BJ$126,'Input data (2)'!$BL$1-$B35,0),IF(AND('Input data (2)'!$C$2=1,$A35&gt;=0),OFFSET('Input data (2)'!BJ$126,'Input data (2)'!$BL$1-$A35,0),""))))</f>
        <v>230</v>
      </c>
      <c r="BS53" s="1">
        <f ca="1">IF(AND('Input data (2)'!$C$2=4,$D35&gt;=0),OFFSET('Input data (2)'!BF$126,'Input data (2)'!$BL$1-$D35,0),IF(AND('Input data (2)'!$C$2=3,$C35&gt;=0),OFFSET('Input data (2)'!BF$126,'Input data (2)'!$BL$1-$C35,0),IF(AND('Input data (2)'!$C$2=2,$B35&gt;=0),OFFSET('Input data (2)'!BF$126,'Input data (2)'!$BL$1-$B35,0),IF(AND('Input data (2)'!$C$2=1,$A35&gt;=0),OFFSET('Input data (2)'!BF$126,'Input data (2)'!$BL$1-$A35,0),""))))</f>
        <v>85</v>
      </c>
      <c r="BT53" s="1">
        <f ca="1">IF(AND('Input data (2)'!$C$2=4,$D35&gt;=0),OFFSET('Input data (2)'!BD$126,'Input data (2)'!$BL$1-$D35,0),IF(AND('Input data (2)'!$C$2=3,$C35&gt;=0),OFFSET('Input data (2)'!BD$126,'Input data (2)'!$BL$1-$C35,0),IF(AND('Input data (2)'!$C$2=2,$B35&gt;=0),OFFSET('Input data (2)'!BD$126,'Input data (2)'!$BL$1-$B35,0),IF(AND('Input data (2)'!$C$2=1,$A35&gt;=0),OFFSET('Input data (2)'!BD$126,'Input data (2)'!$BL$1-$A35,0),""))))</f>
        <v>54</v>
      </c>
      <c r="BU53" s="1">
        <f ca="1">IF(AND('Input data (2)'!$C$2=4,$D35&gt;=0),OFFSET('Input data (2)'!BE$126,'Input data (2)'!$BL$1-$D35,0),IF(AND('Input data (2)'!$C$2=3,$C35&gt;=0),OFFSET('Input data (2)'!BE$126,'Input data (2)'!$BL$1-$C35,0),IF(AND('Input data (2)'!$C$2=2,$B35&gt;=0),OFFSET('Input data (2)'!BE$126,'Input data (2)'!$BL$1-$B35,0),IF(AND('Input data (2)'!$C$2=1,$A35&gt;=0),OFFSET('Input data (2)'!BE$126,'Input data (2)'!$BL$1-$A35,0),""))))</f>
        <v>31</v>
      </c>
      <c r="BW53" s="7">
        <f ca="1">IF(AND('Input data (2)'!$C$2=4,$D35&gt;=0),OFFSET('Input data (2)'!J$126,'Input data (2)'!$BL$1-$D35,0),IF(AND('Input data (2)'!$C$2=3,$C35&gt;=0),OFFSET('Input data (2)'!J$126,'Input data (2)'!$BL$1-$C35,0),IF(AND('Input data (2)'!$C$2=2,$B35&gt;=0),OFFSET('Input data (2)'!J$126,'Input data (2)'!$BL$1-$B35,0),IF(AND('Input data (2)'!$C$2=1,$A35&gt;=0),OFFSET('Input data (2)'!J$126,'Input data (2)'!$BL$1-$A35,0),""))))</f>
        <v>0.78959857342494155</v>
      </c>
      <c r="BX53" s="7">
        <f ca="1">IF(AND('Input data (2)'!$C$2=4,$D35&gt;=0),OFFSET('Input data (2)'!K$126,'Input data (2)'!$BL$1-$D35,0),IF(AND('Input data (2)'!$C$2=3,$C35&gt;=0),OFFSET('Input data (2)'!K$126,'Input data (2)'!$BL$1-$C35,0),IF(AND('Input data (2)'!$C$2=2,$B35&gt;=0),OFFSET('Input data (2)'!K$126,'Input data (2)'!$BL$1-$B35,0),IF(AND('Input data (2)'!$C$2=1,$A35&gt;=0),OFFSET('Input data (2)'!K$126,'Input data (2)'!$BL$1-$A35,0),""))))</f>
        <v>0.71536005258816038</v>
      </c>
      <c r="BY53" s="7">
        <f ca="1">IF(AND('Input data (2)'!$C$2=4,$D35&gt;=0),OFFSET('Input data (2)'!AS$126,'Input data (2)'!$BL$1-$D35,0),IF(AND('Input data (2)'!$C$2=3,$C35&gt;=0),OFFSET('Input data (2)'!AS$126,'Input data (2)'!$BL$1-$C35,0),IF(AND('Input data (2)'!$C$2=2,$B35&gt;=0),OFFSET('Input data (2)'!AS$126,'Input data (2)'!$BL$1-$B35,0),IF(AND('Input data (2)'!$C$2=1,$A35&gt;=0),OFFSET('Input data (2)'!AS$126,'Input data (2)'!$BL$1-$A35,0),""))))</f>
        <v>0.79803544779933344</v>
      </c>
      <c r="BZ53" s="7">
        <f ca="1">IF(AND('Input data (2)'!$C$2=4,$D35&gt;=0),OFFSET('Input data (2)'!AT$126,'Input data (2)'!$BL$1-$D35,0),IF(AND('Input data (2)'!$C$2=3,$C35&gt;=0),OFFSET('Input data (2)'!AT$126,'Input data (2)'!$BL$1-$C35,0),IF(AND('Input data (2)'!$C$2=2,$B35&gt;=0),OFFSET('Input data (2)'!AT$126,'Input data (2)'!$BL$1-$B35,0),IF(AND('Input data (2)'!$C$2=1,$A35&gt;=0),OFFSET('Input data (2)'!AT$126,'Input data (2)'!$BL$1-$A35,0),""))))</f>
        <v>0.705995251543305</v>
      </c>
      <c r="CB53" s="122"/>
      <c r="CC53" s="122"/>
      <c r="CD53" s="122"/>
      <c r="CE53" s="122"/>
      <c r="CK53" s="1"/>
      <c r="CL53" s="1"/>
      <c r="CM53" s="1"/>
      <c r="CN53" s="1"/>
      <c r="CO53" s="1"/>
      <c r="CP53" s="1"/>
    </row>
    <row r="54" spans="5:94" x14ac:dyDescent="0.15">
      <c r="CK54" s="1"/>
      <c r="CL54" s="1"/>
      <c r="CM54" s="1"/>
      <c r="CN54" s="1"/>
      <c r="CO54" s="1"/>
      <c r="CP54" s="1"/>
    </row>
    <row r="55" spans="5:94" x14ac:dyDescent="0.15">
      <c r="E55" s="1" t="str">
        <f>F55&amp;G55</f>
        <v>2011Q1</v>
      </c>
      <c r="F55" s="1">
        <f>F50+1</f>
        <v>2011</v>
      </c>
      <c r="G55" s="1" t="s">
        <v>1</v>
      </c>
      <c r="H55" s="1">
        <f>VLOOKUP($E55,'Input data (2)'!$A:$BL,'Output data - DO NOT TOUCH (2)'!H$71,FALSE)</f>
        <v>4297</v>
      </c>
      <c r="I55" s="1">
        <f>VLOOKUP($E55,'Input data (2)'!$A:$BL,'Output data - DO NOT TOUCH (2)'!I$71,FALSE)</f>
        <v>1111</v>
      </c>
      <c r="J55" s="1">
        <f>VLOOKUP($E55,'Input data (2)'!$A:$BL,'Output data - DO NOT TOUCH (2)'!J$71,FALSE)</f>
        <v>3186</v>
      </c>
      <c r="K55" s="1">
        <f>VLOOKUP($E55,'Input data (2)'!$A:$BL,'Output data - DO NOT TOUCH (2)'!K$71,FALSE)</f>
        <v>4109</v>
      </c>
      <c r="L55" s="1">
        <f>VLOOKUP($E55,'Input data (2)'!$A:$BL,'Output data - DO NOT TOUCH (2)'!L$71,FALSE)</f>
        <v>1086</v>
      </c>
      <c r="M55" s="1">
        <f>VLOOKUP($E55,'Input data (2)'!$A:$BL,'Output data - DO NOT TOUCH (2)'!M$71,FALSE)</f>
        <v>3023</v>
      </c>
      <c r="O55" s="119">
        <f ca="1">IF(AND('Input data (2)'!$C$2=4,$D36&gt;=0),OFFSET('Input data (2)'!O$126,'Input data (2)'!$BL$1-$D36,0),IF(AND('Input data (2)'!$C$2=3,$C36&gt;=0),OFFSET('Input data (2)'!O$126,'Input data (2)'!$BL$1-$C36,0),IF(AND('Input data (2)'!$C$2=2,$B36&gt;=0),OFFSET('Input data (2)'!O$126,'Input data (2)'!$BL$1-$B36,0),IF(AND('Input data (2)'!$C$2=1,$A36&gt;=0),OFFSET('Input data (2)'!O$126,'Input data (2)'!$BL$1-$A36,0),""))))</f>
        <v>330</v>
      </c>
      <c r="Q55" s="1">
        <f ca="1">IF(AND('Input data (2)'!$C$2=4,$D36&gt;=0),OFFSET('Input data (2)'!AC$126,'Input data (2)'!$BL$1-$D36,0),IF(AND('Input data (2)'!$C$2=3,$C36&gt;=0),OFFSET('Input data (2)'!AC$126,'Input data (2)'!$BL$1-$C36,0),IF(AND('Input data (2)'!$C$2=2,$B36&gt;=0),OFFSET('Input data (2)'!AC$126,'Input data (2)'!$BL$1-$B36,0),IF(AND('Input data (2)'!$C$2=1,$A36&gt;=0),OFFSET('Input data (2)'!AC$126,'Input data (2)'!$BL$1-$A36,0),""))))</f>
        <v>30145</v>
      </c>
      <c r="R55" s="1">
        <f ca="1">IF(AND('Input data (2)'!$C$2=4,$D36&gt;=0),OFFSET('Input data (2)'!Q$126,'Input data (2)'!$BL$1-$D36,0),IF(AND('Input data (2)'!$C$2=3,$C36&gt;=0),OFFSET('Input data (2)'!Q$126,'Input data (2)'!$BL$1-$C36,0),IF(AND('Input data (2)'!$C$2=2,$B36&gt;=0),OFFSET('Input data (2)'!Q$126,'Input data (2)'!$BL$1-$B36,0),IF(AND('Input data (2)'!$C$2=1,$A36&gt;=0),OFFSET('Input data (2)'!Q$126,'Input data (2)'!$BL$1-$A36,0),""))))</f>
        <v>12539</v>
      </c>
      <c r="S55" s="1">
        <f ca="1">IF(AND('Input data (2)'!$C$2=4,$D36&gt;=0),OFFSET('Input data (2)'!R$126,'Input data (2)'!$BL$1-$D36,0),IF(AND('Input data (2)'!$C$2=3,$C36&gt;=0),OFFSET('Input data (2)'!R$126,'Input data (2)'!$BL$1-$C36,0),IF(AND('Input data (2)'!$C$2=2,$B36&gt;=0),OFFSET('Input data (2)'!R$126,'Input data (2)'!$BL$1-$B36,0),IF(AND('Input data (2)'!$C$2=1,$A36&gt;=0),OFFSET('Input data (2)'!R$126,'Input data (2)'!$BL$1-$A36,0),""))))</f>
        <v>6788</v>
      </c>
      <c r="T55" s="1">
        <f ca="1">IF(AND('Input data (2)'!$C$2=4,$D36&gt;=0),OFFSET('Input data (2)'!AA$126,'Input data (2)'!$BL$1-$D36,0),IF(AND('Input data (2)'!$C$2=3,$C36&gt;=0),OFFSET('Input data (2)'!AA$126,'Input data (2)'!$BL$1-$C36,0),IF(AND('Input data (2)'!$C$2=2,$B36&gt;=0),OFFSET('Input data (2)'!AA$126,'Input data (2)'!$BL$1-$B36,0),IF(AND('Input data (2)'!$C$2=1,$A36&gt;=0),OFFSET('Input data (2)'!AA$126,'Input data (2)'!$BL$1-$A36,0),""))))</f>
        <v>10818</v>
      </c>
      <c r="U55" s="1" t="str">
        <f ca="1">IF(AND('Input data (2)'!$C$2=4,$D36&gt;=0),OFFSET('Input data (2)'!AL$126,'Input data (2)'!$BL$1-$D36,0),IF(AND('Input data (2)'!$C$2=3,$C36&gt;=0),OFFSET('Input data (2)'!AL$126,'Input data (2)'!$BL$1-$C36,0),IF(AND('Input data (2)'!$C$2=2,$B36&gt;=0),OFFSET('Input data (2)'!AL$126,'Input data (2)'!$BL$1-$B36,0),IF(AND('Input data (2)'!$C$2=1,$A36&gt;=0),OFFSET('Input data (2)'!AL$126,'Input data (2)'!$BL$1-$A36,0),""))))</f>
        <v>:</v>
      </c>
      <c r="V55" s="1">
        <f ca="1">IF(AND('Input data (2)'!$C$2=4,$D36&gt;=0),OFFSET('Input data (2)'!AJ$126,'Input data (2)'!$BL$1-$D36,0),IF(AND('Input data (2)'!$C$2=3,$C36&gt;=0),OFFSET('Input data (2)'!AJ$126,'Input data (2)'!$BL$1-$C36,0),IF(AND('Input data (2)'!$C$2=2,$B36&gt;=0),OFFSET('Input data (2)'!AJ$126,'Input data (2)'!$BL$1-$B36,0),IF(AND('Input data (2)'!$C$2=1,$A36&gt;=0),OFFSET('Input data (2)'!AJ$126,'Input data (2)'!$BL$1-$A36,0),""))))</f>
        <v>11754</v>
      </c>
      <c r="W55" s="1">
        <f ca="1">IF(AND('Input data (2)'!$C$2=4,$D36&gt;=0),OFFSET('Input data (2)'!AK$126,'Input data (2)'!$BL$1-$D36,0),IF(AND('Input data (2)'!$C$2=3,$C36&gt;=0),OFFSET('Input data (2)'!AK$126,'Input data (2)'!$BL$1-$C36,0),IF(AND('Input data (2)'!$C$2=2,$B36&gt;=0),OFFSET('Input data (2)'!AK$126,'Input data (2)'!$BL$1-$B36,0),IF(AND('Input data (2)'!$C$2=1,$A36&gt;=0),OFFSET('Input data (2)'!AK$126,'Input data (2)'!$BL$1-$A36,0),""))))</f>
        <v>11657</v>
      </c>
      <c r="Y55" s="1">
        <f ca="1">IF(AND('Input data (2)'!$C$2=4,$D36&gt;=0),OFFSET('Input data (2)'!Q$126,'Input data (2)'!$BL$1-$D36,0),IF(AND('Input data (2)'!$C$2=3,$C36&gt;=0),OFFSET('Input data (2)'!Q$126,'Input data (2)'!$BL$1-$C36,0),IF(AND('Input data (2)'!$C$2=2,$B36&gt;=0),OFFSET('Input data (2)'!Q$126,'Input data (2)'!$BL$1-$B36,0),IF(AND('Input data (2)'!$C$2=1,$A36&gt;=0),OFFSET('Input data (2)'!Q$126,'Input data (2)'!$BL$1-$A36,0),""))))</f>
        <v>12539</v>
      </c>
      <c r="Z55" s="1">
        <f ca="1">IF(AND('Input data (2)'!$C$2=4,$D36&gt;=0),OFFSET('Input data (2)'!S$126,'Input data (2)'!$BL$1-$D36,0),IF(AND('Input data (2)'!$C$2=3,$C36&gt;=0),OFFSET('Input data (2)'!S$126,'Input data (2)'!$BL$1-$C36,0),IF(AND('Input data (2)'!$C$2=2,$B36&gt;=0),OFFSET('Input data (2)'!S$126,'Input data (2)'!$BL$1-$B36,0),IF(AND('Input data (2)'!$C$2=1,$A36&gt;=0),OFFSET('Input data (2)'!S$126,'Input data (2)'!$BL$1-$A36,0),""))))</f>
        <v>10557</v>
      </c>
      <c r="AA55" s="1">
        <f ca="1">IF(AND('Input data (2)'!$C$2=4,$D36&gt;=0),OFFSET('Input data (2)'!T$126,'Input data (2)'!$BL$1-$D36,0),IF(AND('Input data (2)'!$C$2=3,$C36&gt;=0),OFFSET('Input data (2)'!T$126,'Input data (2)'!$BL$1-$C36,0),IF(AND('Input data (2)'!$C$2=2,$B36&gt;=0),OFFSET('Input data (2)'!T$126,'Input data (2)'!$BL$1-$B36,0),IF(AND('Input data (2)'!$C$2=1,$A36&gt;=0),OFFSET('Input data (2)'!T$126,'Input data (2)'!$BL$1-$A36,0),""))))</f>
        <v>84.19331685142356</v>
      </c>
      <c r="AB55" s="1">
        <f ca="1">IF(AND('Input data (2)'!$C$2=4,$D36&gt;=0),OFFSET('Input data (2)'!U$126,'Input data (2)'!$BL$1-$D36,0),IF(AND('Input data (2)'!$C$2=3,$C36&gt;=0),OFFSET('Input data (2)'!U$126,'Input data (2)'!$BL$1-$C36,0),IF(AND('Input data (2)'!$C$2=2,$B36&gt;=0),OFFSET('Input data (2)'!U$126,'Input data (2)'!$BL$1-$B36,0),IF(AND('Input data (2)'!$C$2=1,$A36&gt;=0),OFFSET('Input data (2)'!U$126,'Input data (2)'!$BL$1-$A36,0),""))))</f>
        <v>1982</v>
      </c>
      <c r="AC55" s="1">
        <f ca="1">IF(AND('Input data (2)'!$C$2=4,$D36&gt;=0),OFFSET('Input data (2)'!V$126,'Input data (2)'!$BL$1-$D36,0),IF(AND('Input data (2)'!$C$2=3,$C36&gt;=0),OFFSET('Input data (2)'!V$126,'Input data (2)'!$BL$1-$C36,0),IF(AND('Input data (2)'!$C$2=2,$B36&gt;=0),OFFSET('Input data (2)'!V$126,'Input data (2)'!$BL$1-$B36,0),IF(AND('Input data (2)'!$C$2=1,$A36&gt;=0),OFFSET('Input data (2)'!V$126,'Input data (2)'!$BL$1-$A36,0),""))))</f>
        <v>15.806683148576441</v>
      </c>
      <c r="AD55" s="1">
        <f ca="1">IF(AND('Input data (2)'!$C$2=4,$D36&gt;=0),OFFSET('Input data (2)'!Q$126,'Input data (2)'!$BL$1-$D36,0),IF(AND('Input data (2)'!$C$2=3,$C36&gt;=0),OFFSET('Input data (2)'!Q$126,'Input data (2)'!$BL$1-$C36,0),IF(AND('Input data (2)'!$C$2=2,$B36&gt;=0),OFFSET('Input data (2)'!Q$126,'Input data (2)'!$BL$1-$B36,0),IF(AND('Input data (2)'!$C$2=1,$A36&gt;=0),OFFSET('Input data (2)'!Q$126,'Input data (2)'!$BL$1-$A36,0),""))))</f>
        <v>12539</v>
      </c>
      <c r="AE55" s="1">
        <f ca="1">IF(AND('Input data (2)'!$C$2=4,$D36&gt;=0),OFFSET('Input data (2)'!W$126,'Input data (2)'!$BL$1-$D36,0),IF(AND('Input data (2)'!$C$2=3,$C36&gt;=0),OFFSET('Input data (2)'!W$126,'Input data (2)'!$BL$1-$C36,0),IF(AND('Input data (2)'!$C$2=2,$B36&gt;=0),OFFSET('Input data (2)'!W$126,'Input data (2)'!$BL$1-$B36,0),IF(AND('Input data (2)'!$C$2=1,$A36&gt;=0),OFFSET('Input data (2)'!W$126,'Input data (2)'!$BL$1-$A36,0),""))))</f>
        <v>2579</v>
      </c>
      <c r="AF55" s="1">
        <f ca="1">IF(AND('Input data (2)'!$C$2=4,$D36&gt;=0),OFFSET('Input data (2)'!X$126,'Input data (2)'!$BL$1-$D36,0),IF(AND('Input data (2)'!$C$2=3,$C36&gt;=0),OFFSET('Input data (2)'!X$126,'Input data (2)'!$BL$1-$C36,0),IF(AND('Input data (2)'!$C$2=2,$B36&gt;=0),OFFSET('Input data (2)'!X$126,'Input data (2)'!$BL$1-$B36,0),IF(AND('Input data (2)'!$C$2=1,$A36&gt;=0),OFFSET('Input data (2)'!X$126,'Input data (2)'!$BL$1-$A36,0),""))))</f>
        <v>20.56782837546854</v>
      </c>
      <c r="AG55" s="1">
        <f ca="1">IF(AND('Input data (2)'!$C$2=4,$D36&gt;=0),OFFSET('Input data (2)'!Y$126,'Input data (2)'!$BL$1-$D36,0),IF(AND('Input data (2)'!$C$2=3,$C36&gt;=0),OFFSET('Input data (2)'!Y$126,'Input data (2)'!$BL$1-$C36,0),IF(AND('Input data (2)'!$C$2=2,$B36&gt;=0),OFFSET('Input data (2)'!Y$126,'Input data (2)'!$BL$1-$B36,0),IF(AND('Input data (2)'!$C$2=1,$A36&gt;=0),OFFSET('Input data (2)'!Y$126,'Input data (2)'!$BL$1-$A36,0),""))))</f>
        <v>9960</v>
      </c>
      <c r="AH55" s="1">
        <f ca="1">IF(AND('Input data (2)'!$C$2=4,$D36&gt;=0),OFFSET('Input data (2)'!Z$126,'Input data (2)'!$BL$1-$D36,0),IF(AND('Input data (2)'!$C$2=3,$C36&gt;=0),OFFSET('Input data (2)'!Z$126,'Input data (2)'!$BL$1-$C36,0),IF(AND('Input data (2)'!$C$2=2,$B36&gt;=0),OFFSET('Input data (2)'!Z$126,'Input data (2)'!$BL$1-$B36,0),IF(AND('Input data (2)'!$C$2=1,$A36&gt;=0),OFFSET('Input data (2)'!Z$126,'Input data (2)'!$BL$1-$A36,0),""))))</f>
        <v>79.432171624531463</v>
      </c>
      <c r="AI55" s="3"/>
      <c r="AJ55" s="124">
        <f ca="1">IF(AND('Input data (2)'!$C$2=4,$D36&gt;=0),OFFSET('Input data (2)'!AF$126,'Input data (2)'!$BL$1-$D36,0),IF(AND('Input data (2)'!$C$2=3,$C36&gt;=0),OFFSET('Input data (2)'!AF$126,'Input data (2)'!$BL$1-$C36,0),IF(AND('Input data (2)'!$C$2=2,$B36&gt;=0),OFFSET('Input data (2)'!AF$126,'Input data (2)'!$BL$1-$B36,0),IF(AND('Input data (2)'!$C$2=1,$A36&gt;=0),OFFSET('Input data (2)'!AF$126,'Input data (2)'!$BL$1-$A36,0),""))))</f>
        <v>1477</v>
      </c>
      <c r="AK55" s="124">
        <f ca="1">IF(AND('Input data (2)'!$C$2=4,$D36&gt;=0),OFFSET('Input data (2)'!AD$126,'Input data (2)'!$BL$1-$D36,0),IF(AND('Input data (2)'!$C$2=3,$C36&gt;=0),OFFSET('Input data (2)'!AD$126,'Input data (2)'!$BL$1-$C36,0),IF(AND('Input data (2)'!$C$2=2,$B36&gt;=0),OFFSET('Input data (2)'!AD$126,'Input data (2)'!$BL$1-$B36,0),IF(AND('Input data (2)'!$C$2=1,$A36&gt;=0),OFFSET('Input data (2)'!AD$126,'Input data (2)'!$BL$1-$A36,0),""))))</f>
        <v>10</v>
      </c>
      <c r="AL55" s="124">
        <f ca="1">IF(AND('Input data (2)'!$C$2=4,$D36&gt;=0),OFFSET('Input data (2)'!AE$126,'Input data (2)'!$BL$1-$D36,0),IF(AND('Input data (2)'!$C$2=3,$C36&gt;=0),OFFSET('Input data (2)'!AE$126,'Input data (2)'!$BL$1-$C36,0),IF(AND('Input data (2)'!$C$2=2,$B36&gt;=0),OFFSET('Input data (2)'!AE$126,'Input data (2)'!$BL$1-$B36,0),IF(AND('Input data (2)'!$C$2=1,$A36&gt;=0),OFFSET('Input data (2)'!AE$126,'Input data (2)'!$BL$1-$A36,0),""))))</f>
        <v>1467</v>
      </c>
      <c r="AW55" s="1">
        <f ca="1">IF(AND('Input data (2)'!$C$2=4,$D36&gt;=0),OFFSET('Input data (2)'!L$126,'Input data (2)'!$BL$1-$D36,0),IF(AND('Input data (2)'!$C$2=3,$C36&gt;=0),OFFSET('Input data (2)'!L$126,'Input data (2)'!$BL$1-$C36,0),IF(AND('Input data (2)'!$C$2=2,$B36&gt;=0),OFFSET('Input data (2)'!L$126,'Input data (2)'!$BL$1-$B36,0),IF(AND('Input data (2)'!$C$2=1,$A36&gt;=0),OFFSET('Input data (2)'!L$126,'Input data (2)'!$BL$1-$A36,0),""))))</f>
        <v>349</v>
      </c>
      <c r="AX55" s="1">
        <f ca="1">IF(AND('Input data (2)'!$C$2=4,$D36&gt;=0),OFFSET('Input data (2)'!M$126,'Input data (2)'!$BL$1-$D36,0),IF(AND('Input data (2)'!$C$2=3,$C36&gt;=0),OFFSET('Input data (2)'!M$126,'Input data (2)'!$BL$1-$C36,0),IF(AND('Input data (2)'!$C$2=2,$B36&gt;=0),OFFSET('Input data (2)'!M$126,'Input data (2)'!$BL$1-$B36,0),IF(AND('Input data (2)'!$C$2=1,$A36&gt;=0),OFFSET('Input data (2)'!M$126,'Input data (2)'!$BL$1-$A36,0),""))))</f>
        <v>0</v>
      </c>
      <c r="AY55" s="1">
        <f ca="1">IF(AND('Input data (2)'!$C$2=4,$D36&gt;=0),OFFSET('Input data (2)'!N$126,'Input data (2)'!$BL$1-$D36,0),IF(AND('Input data (2)'!$C$2=3,$C36&gt;=0),OFFSET('Input data (2)'!N$126,'Input data (2)'!$BL$1-$C36,0),IF(AND('Input data (2)'!$C$2=2,$B36&gt;=0),OFFSET('Input data (2)'!N$126,'Input data (2)'!$BL$1-$B36,0),IF(AND('Input data (2)'!$C$2=1,$A36&gt;=0),OFFSET('Input data (2)'!N$126,'Input data (2)'!$BL$1-$A36,0),""))))</f>
        <v>782</v>
      </c>
      <c r="AZ55" s="1">
        <f ca="1">IF(AND('Input data (2)'!$C$2=4,$D36&gt;=0),OFFSET('Input data (2)'!P$126,'Input data (2)'!$BL$1-$D36,0),IF(AND('Input data (2)'!$C$2=3,$C36&gt;=0),OFFSET('Input data (2)'!P$126,'Input data (2)'!$BL$1-$C36,0),IF(AND('Input data (2)'!$C$2=2,$B36&gt;=0),OFFSET('Input data (2)'!P$126,'Input data (2)'!$BL$1-$B36,0),IF(AND('Input data (2)'!$C$2=1,$A36&gt;=0),OFFSET('Input data (2)'!P$126,'Input data (2)'!$BL$1-$A36,0),""))))</f>
        <v>183</v>
      </c>
      <c r="BB55" s="1">
        <f ca="1">IF(AND('Input data (2)'!$C$2=4,$D36&gt;=0),OFFSET('Input data (2)'!BB$126,'Input data (2)'!$BL$1-$D36,0),IF(AND('Input data (2)'!$C$2=3,$C36&gt;=0),OFFSET('Input data (2)'!BB$126,'Input data (2)'!$BL$1-$C36,0),IF(AND('Input data (2)'!$C$2=2,$B36&gt;=0),OFFSET('Input data (2)'!BB$126,'Input data (2)'!$BL$1-$B36,0),IF(AND('Input data (2)'!$C$2=1,$A36&gt;=0),OFFSET('Input data (2)'!BB$126,'Input data (2)'!$BL$1-$A36,0),""))))</f>
        <v>4273</v>
      </c>
      <c r="BC55" s="1">
        <f ca="1">IF(AND('Input data (2)'!$C$2=4,$D36&gt;=0),OFFSET('Input data (2)'!AY$126,'Input data (2)'!$BL$1-$D36,0),IF(AND('Input data (2)'!$C$2=3,$C36&gt;=0),OFFSET('Input data (2)'!AY$126,'Input data (2)'!$BL$1-$C36,0),IF(AND('Input data (2)'!$C$2=2,$B36&gt;=0),OFFSET('Input data (2)'!AY$126,'Input data (2)'!$BL$1-$B36,0),IF(AND('Input data (2)'!$C$2=1,$A36&gt;=0),OFFSET('Input data (2)'!AY$126,'Input data (2)'!$BL$1-$A36,0),""))))</f>
        <v>2698</v>
      </c>
      <c r="BD55" s="1">
        <f ca="1">IF(AND('Input data (2)'!$C$2=4,$D36&gt;=0),OFFSET('Input data (2)'!AZ$126,'Input data (2)'!$BL$1-$D36,0),IF(AND('Input data (2)'!$C$2=3,$C36&gt;=0),OFFSET('Input data (2)'!AZ$126,'Input data (2)'!$BL$1-$C36,0),IF(AND('Input data (2)'!$C$2=2,$B36&gt;=0),OFFSET('Input data (2)'!AZ$126,'Input data (2)'!$BL$1-$B36,0),IF(AND('Input data (2)'!$C$2=1,$A36&gt;=0),OFFSET('Input data (2)'!AZ$126,'Input data (2)'!$BL$1-$A36,0),""))))</f>
        <v>1204</v>
      </c>
      <c r="BE55" s="1">
        <f ca="1">IF(AND('Input data (2)'!$C$2=4,$D36&gt;=0),OFFSET('Input data (2)'!BA$126,'Input data (2)'!$BL$1-$D36,0),IF(AND('Input data (2)'!$C$2=3,$C36&gt;=0),OFFSET('Input data (2)'!BA$126,'Input data (2)'!$BL$1-$C36,0),IF(AND('Input data (2)'!$C$2=2,$B36&gt;=0),OFFSET('Input data (2)'!BA$126,'Input data (2)'!$BL$1-$B36,0),IF(AND('Input data (2)'!$C$2=1,$A36&gt;=0),OFFSET('Input data (2)'!BA$126,'Input data (2)'!$BL$1-$A36,0),""))))</f>
        <v>1575</v>
      </c>
      <c r="BF55" s="1">
        <f ca="1">IF(AND('Input data (2)'!$C$2=4,$D36&gt;=0),OFFSET('Input data (2)'!AP$126,'Input data (2)'!$BL$1-$D36,0),IF(AND('Input data (2)'!$C$2=3,$C36&gt;=0),OFFSET('Input data (2)'!AP$126,'Input data (2)'!$BL$1-$C36,0),IF(AND('Input data (2)'!$C$2=2,$B36&gt;=0),OFFSET('Input data (2)'!AP$126,'Input data (2)'!$BL$1-$B36,0),IF(AND('Input data (2)'!$C$2=1,$A36&gt;=0),OFFSET('Input data (2)'!AP$126,'Input data (2)'!$BL$1-$A36,0),""))))</f>
        <v>279</v>
      </c>
      <c r="BG55" s="1">
        <f ca="1">IF(AND('Input data (2)'!$C$2=4,$D36&gt;=0),OFFSET('Input data (2)'!AN$126,'Input data (2)'!$BL$1-$D36,0),IF(AND('Input data (2)'!$C$2=3,$C36&gt;=0),OFFSET('Input data (2)'!AN$126,'Input data (2)'!$BL$1-$C36,0),IF(AND('Input data (2)'!$C$2=2,$B36&gt;=0),OFFSET('Input data (2)'!AN$126,'Input data (2)'!$BL$1-$B36,0),IF(AND('Input data (2)'!$C$2=1,$A36&gt;=0),OFFSET('Input data (2)'!AN$126,'Input data (2)'!$BL$1-$A36,0),""))))</f>
        <v>208</v>
      </c>
      <c r="BH55" s="1">
        <f ca="1">IF(AND('Input data (2)'!$C$2=4,$D36&gt;=0),OFFSET('Input data (2)'!AO$126,'Input data (2)'!$BL$1-$D36,0),IF(AND('Input data (2)'!$C$2=3,$C36&gt;=0),OFFSET('Input data (2)'!AO$126,'Input data (2)'!$BL$1-$C36,0),IF(AND('Input data (2)'!$C$2=2,$B36&gt;=0),OFFSET('Input data (2)'!AO$126,'Input data (2)'!$BL$1-$B36,0),IF(AND('Input data (2)'!$C$2=1,$A36&gt;=0),OFFSET('Input data (2)'!AO$126,'Input data (2)'!$BL$1-$A36,0),""))))</f>
        <v>71</v>
      </c>
      <c r="BJ55" s="1">
        <f ca="1">IF(AND('Input data (2)'!$C$2=4,$D36&gt;=0),OFFSET('Input data (2)'!AU$126,'Input data (2)'!$BL$1-$D36,0),IF(AND('Input data (2)'!$C$2=3,$C36&gt;=0),OFFSET('Input data (2)'!AU$126,'Input data (2)'!$BL$1-$C36,0),IF(AND('Input data (2)'!$C$2=2,$B36&gt;=0),OFFSET('Input data (2)'!AU$126,'Input data (2)'!$BL$1-$B36,0),IF(AND('Input data (2)'!$C$2=1,$A36&gt;=0),OFFSET('Input data (2)'!AU$126,'Input data (2)'!$BL$1-$A36,0),""))))</f>
        <v>15</v>
      </c>
      <c r="BK55" s="1">
        <f ca="1">IF(AND('Input data (2)'!$C$2=4,$D36&gt;=0),OFFSET('Input data (2)'!AV$126,'Input data (2)'!$BL$1-$D36,0),IF(AND('Input data (2)'!$C$2=3,$C36&gt;=0),OFFSET('Input data (2)'!AV$126,'Input data (2)'!$BL$1-$C36,0),IF(AND('Input data (2)'!$C$2=2,$B36&gt;=0),OFFSET('Input data (2)'!AV$126,'Input data (2)'!$BL$1-$B36,0),IF(AND('Input data (2)'!$C$2=1,$A36&gt;=0),OFFSET('Input data (2)'!AV$126,'Input data (2)'!$BL$1-$A36,0),""))))</f>
        <v>0</v>
      </c>
      <c r="BL55" s="1">
        <f ca="1">IF(AND('Input data (2)'!$C$2=4,$D36&gt;=0),OFFSET('Input data (2)'!AW$126,'Input data (2)'!$BL$1-$D36,0),IF(AND('Input data (2)'!$C$2=3,$C36&gt;=0),OFFSET('Input data (2)'!AW$126,'Input data (2)'!$BL$1-$C36,0),IF(AND('Input data (2)'!$C$2=2,$B36&gt;=0),OFFSET('Input data (2)'!AW$126,'Input data (2)'!$BL$1-$B36,0),IF(AND('Input data (2)'!$C$2=1,$A36&gt;=0),OFFSET('Input data (2)'!AW$126,'Input data (2)'!$BL$1-$A36,0),""))))</f>
        <v>57</v>
      </c>
      <c r="BM55" s="1">
        <f ca="1">IF(AND('Input data (2)'!$C$2=4,$D36&gt;=0),OFFSET('Input data (2)'!AX$126,'Input data (2)'!$BL$1-$D36,0),IF(AND('Input data (2)'!$C$2=3,$C36&gt;=0),OFFSET('Input data (2)'!AX$126,'Input data (2)'!$BL$1-$C36,0),IF(AND('Input data (2)'!$C$2=2,$B36&gt;=0),OFFSET('Input data (2)'!AX$126,'Input data (2)'!$BL$1-$B36,0),IF(AND('Input data (2)'!$C$2=1,$A36&gt;=0),OFFSET('Input data (2)'!AX$126,'Input data (2)'!$BL$1-$A36,0),""))))</f>
        <v>3</v>
      </c>
      <c r="BO55" s="1">
        <f ca="1">IF(AND('Input data (2)'!$C$2=4,$D36&gt;=0),OFFSET('Input data (2)'!BL$126,'Input data (2)'!$BL$1-$D36,0),IF(AND('Input data (2)'!$C$2=3,$C36&gt;=0),OFFSET('Input data (2)'!BL$126,'Input data (2)'!$BL$1-$C36,0),IF(AND('Input data (2)'!$C$2=2,$B36&gt;=0),OFFSET('Input data (2)'!BL$126,'Input data (2)'!$BL$1-$B36,0),IF(AND('Input data (2)'!$C$2=1,$A36&gt;=0),OFFSET('Input data (2)'!BL$126,'Input data (2)'!$BL$1-$A36,0),""))))</f>
        <v>692</v>
      </c>
      <c r="BP55" s="1">
        <f ca="1">IF(AND('Input data (2)'!$C$2=4,$D36&gt;=0),OFFSET('Input data (2)'!BI$126,'Input data (2)'!$BL$1-$D36,0),IF(AND('Input data (2)'!$C$2=3,$C36&gt;=0),OFFSET('Input data (2)'!BI$126,'Input data (2)'!$BL$1-$C36,0),IF(AND('Input data (2)'!$C$2=2,$B36&gt;=0),OFFSET('Input data (2)'!BI$126,'Input data (2)'!$BL$1-$B36,0),IF(AND('Input data (2)'!$C$2=1,$A36&gt;=0),OFFSET('Input data (2)'!BI$126,'Input data (2)'!$BL$1-$A36,0),""))))</f>
        <v>451</v>
      </c>
      <c r="BQ55" s="1" t="str">
        <f ca="1">IF(AND('Input data (2)'!$C$2=4,$D36&gt;=0),OFFSET('Input data (2)'!BK$126,'Input data (2)'!$BL$1-$D36,0),IF(AND('Input data (2)'!$C$2=3,$C36&gt;=0),OFFSET('Input data (2)'!BK$126,'Input data (2)'!$BL$1-$C36,0),IF(AND('Input data (2)'!$C$2=2,$B36&gt;=0),OFFSET('Input data (2)'!BK$126,'Input data (2)'!$BL$1-$B36,0),IF(AND('Input data (2)'!$C$2=1,$A36&gt;=0),OFFSET('Input data (2)'!BK$126,'Input data (2)'!$BL$1-$A36,0),""))))</f>
        <v>..</v>
      </c>
      <c r="BR55" s="1">
        <f ca="1">IF(AND('Input data (2)'!$C$2=4,$D36&gt;=0),OFFSET('Input data (2)'!BJ$126,'Input data (2)'!$BL$1-$D36,0),IF(AND('Input data (2)'!$C$2=3,$C36&gt;=0),OFFSET('Input data (2)'!BJ$126,'Input data (2)'!$BL$1-$C36,0),IF(AND('Input data (2)'!$C$2=2,$B36&gt;=0),OFFSET('Input data (2)'!BJ$126,'Input data (2)'!$BL$1-$B36,0),IF(AND('Input data (2)'!$C$2=1,$A36&gt;=0),OFFSET('Input data (2)'!BJ$126,'Input data (2)'!$BL$1-$A36,0),""))))</f>
        <v>241</v>
      </c>
      <c r="BS55" s="1">
        <f ca="1">IF(AND('Input data (2)'!$C$2=4,$D36&gt;=0),OFFSET('Input data (2)'!BF$126,'Input data (2)'!$BL$1-$D36,0),IF(AND('Input data (2)'!$C$2=3,$C36&gt;=0),OFFSET('Input data (2)'!BF$126,'Input data (2)'!$BL$1-$C36,0),IF(AND('Input data (2)'!$C$2=2,$B36&gt;=0),OFFSET('Input data (2)'!BF$126,'Input data (2)'!$BL$1-$B36,0),IF(AND('Input data (2)'!$C$2=1,$A36&gt;=0),OFFSET('Input data (2)'!BF$126,'Input data (2)'!$BL$1-$A36,0),""))))</f>
        <v>94</v>
      </c>
      <c r="BT55" s="1">
        <f ca="1">IF(AND('Input data (2)'!$C$2=4,$D36&gt;=0),OFFSET('Input data (2)'!BD$126,'Input data (2)'!$BL$1-$D36,0),IF(AND('Input data (2)'!$C$2=3,$C36&gt;=0),OFFSET('Input data (2)'!BD$126,'Input data (2)'!$BL$1-$C36,0),IF(AND('Input data (2)'!$C$2=2,$B36&gt;=0),OFFSET('Input data (2)'!BD$126,'Input data (2)'!$BL$1-$B36,0),IF(AND('Input data (2)'!$C$2=1,$A36&gt;=0),OFFSET('Input data (2)'!BD$126,'Input data (2)'!$BL$1-$A36,0),""))))</f>
        <v>61</v>
      </c>
      <c r="BU55" s="1">
        <f ca="1">IF(AND('Input data (2)'!$C$2=4,$D36&gt;=0),OFFSET('Input data (2)'!BE$126,'Input data (2)'!$BL$1-$D36,0),IF(AND('Input data (2)'!$C$2=3,$C36&gt;=0),OFFSET('Input data (2)'!BE$126,'Input data (2)'!$BL$1-$C36,0),IF(AND('Input data (2)'!$C$2=2,$B36&gt;=0),OFFSET('Input data (2)'!BE$126,'Input data (2)'!$BL$1-$B36,0),IF(AND('Input data (2)'!$C$2=1,$A36&gt;=0),OFFSET('Input data (2)'!BE$126,'Input data (2)'!$BL$1-$A36,0),""))))</f>
        <v>33</v>
      </c>
      <c r="BW55" s="7">
        <f ca="1">IF(AND('Input data (2)'!$C$2=4,$D36&gt;=0),OFFSET('Input data (2)'!J$126,'Input data (2)'!$BL$1-$D36,0),IF(AND('Input data (2)'!$C$2=3,$C36&gt;=0),OFFSET('Input data (2)'!J$126,'Input data (2)'!$BL$1-$C36,0),IF(AND('Input data (2)'!$C$2=2,$B36&gt;=0),OFFSET('Input data (2)'!J$126,'Input data (2)'!$BL$1-$B36,0),IF(AND('Input data (2)'!$C$2=1,$A36&gt;=0),OFFSET('Input data (2)'!J$126,'Input data (2)'!$BL$1-$A36,0),""))))</f>
        <v>0.78043330112019393</v>
      </c>
      <c r="BX55" s="7">
        <f ca="1">IF(AND('Input data (2)'!$C$2=4,$D36&gt;=0),OFFSET('Input data (2)'!K$126,'Input data (2)'!$BL$1-$D36,0),IF(AND('Input data (2)'!$C$2=3,$C36&gt;=0),OFFSET('Input data (2)'!K$126,'Input data (2)'!$BL$1-$C36,0),IF(AND('Input data (2)'!$C$2=2,$B36&gt;=0),OFFSET('Input data (2)'!K$126,'Input data (2)'!$BL$1-$B36,0),IF(AND('Input data (2)'!$C$2=1,$A36&gt;=0),OFFSET('Input data (2)'!K$126,'Input data (2)'!$BL$1-$A36,0),""))))</f>
        <v>0.7099795459723427</v>
      </c>
      <c r="BY55" s="7">
        <f ca="1">IF(AND('Input data (2)'!$C$2=4,$D36&gt;=0),OFFSET('Input data (2)'!AS$126,'Input data (2)'!$BL$1-$D36,0),IF(AND('Input data (2)'!$C$2=3,$C36&gt;=0),OFFSET('Input data (2)'!AS$126,'Input data (2)'!$BL$1-$C36,0),IF(AND('Input data (2)'!$C$2=2,$B36&gt;=0),OFFSET('Input data (2)'!AS$126,'Input data (2)'!$BL$1-$B36,0),IF(AND('Input data (2)'!$C$2=1,$A36&gt;=0),OFFSET('Input data (2)'!AS$126,'Input data (2)'!$BL$1-$A36,0),""))))</f>
        <v>0.79450561982842738</v>
      </c>
      <c r="BZ55" s="7">
        <f ca="1">IF(AND('Input data (2)'!$C$2=4,$D36&gt;=0),OFFSET('Input data (2)'!AT$126,'Input data (2)'!$BL$1-$D36,0),IF(AND('Input data (2)'!$C$2=3,$C36&gt;=0),OFFSET('Input data (2)'!AT$126,'Input data (2)'!$BL$1-$C36,0),IF(AND('Input data (2)'!$C$2=2,$B36&gt;=0),OFFSET('Input data (2)'!AT$126,'Input data (2)'!$BL$1-$B36,0),IF(AND('Input data (2)'!$C$2=1,$A36&gt;=0),OFFSET('Input data (2)'!AT$126,'Input data (2)'!$BL$1-$A36,0),""))))</f>
        <v>0.70699946383055012</v>
      </c>
      <c r="CB55" s="122"/>
      <c r="CC55" s="122"/>
      <c r="CD55" s="122"/>
      <c r="CE55" s="122"/>
      <c r="CK55" s="1"/>
      <c r="CL55" s="1"/>
      <c r="CM55" s="1"/>
      <c r="CN55" s="1"/>
      <c r="CO55" s="1"/>
      <c r="CP55" s="1"/>
    </row>
    <row r="56" spans="5:94" x14ac:dyDescent="0.15">
      <c r="E56" s="1" t="str">
        <f>F56&amp;G56</f>
        <v>2011Q2</v>
      </c>
      <c r="F56" s="1">
        <f>F51+1</f>
        <v>2011</v>
      </c>
      <c r="G56" s="1" t="s">
        <v>2</v>
      </c>
      <c r="H56" s="1">
        <f>VLOOKUP($E56,'Input data (2)'!$A:$BL,'Output data - DO NOT TOUCH (2)'!H$71,FALSE)</f>
        <v>4268</v>
      </c>
      <c r="I56" s="1">
        <f>VLOOKUP($E56,'Input data (2)'!$A:$BL,'Output data - DO NOT TOUCH (2)'!I$71,FALSE)</f>
        <v>1317</v>
      </c>
      <c r="J56" s="1">
        <f>VLOOKUP($E56,'Input data (2)'!$A:$BL,'Output data - DO NOT TOUCH (2)'!J$71,FALSE)</f>
        <v>2951</v>
      </c>
      <c r="K56" s="1">
        <f>VLOOKUP($E56,'Input data (2)'!$A:$BL,'Output data - DO NOT TOUCH (2)'!K$71,FALSE)</f>
        <v>4230</v>
      </c>
      <c r="L56" s="1">
        <f>VLOOKUP($E56,'Input data (2)'!$A:$BL,'Output data - DO NOT TOUCH (2)'!L$71,FALSE)</f>
        <v>1317</v>
      </c>
      <c r="M56" s="1">
        <f>VLOOKUP($E56,'Input data (2)'!$A:$BL,'Output data - DO NOT TOUCH (2)'!M$71,FALSE)</f>
        <v>2913</v>
      </c>
      <c r="O56" s="119">
        <f ca="1">IF(AND('Input data (2)'!$C$2=4,$D37&gt;=0),OFFSET('Input data (2)'!O$126,'Input data (2)'!$BL$1-$D37,0),IF(AND('Input data (2)'!$C$2=3,$C37&gt;=0),OFFSET('Input data (2)'!O$126,'Input data (2)'!$BL$1-$C37,0),IF(AND('Input data (2)'!$C$2=2,$B37&gt;=0),OFFSET('Input data (2)'!O$126,'Input data (2)'!$BL$1-$B37,0),IF(AND('Input data (2)'!$C$2=1,$A37&gt;=0),OFFSET('Input data (2)'!O$126,'Input data (2)'!$BL$1-$A37,0),""))))</f>
        <v>257</v>
      </c>
      <c r="Q56" s="1">
        <f ca="1">IF(AND('Input data (2)'!$C$2=4,$D37&gt;=0),OFFSET('Input data (2)'!AC$126,'Input data (2)'!$BL$1-$D37,0),IF(AND('Input data (2)'!$C$2=3,$C37&gt;=0),OFFSET('Input data (2)'!AC$126,'Input data (2)'!$BL$1-$C37,0),IF(AND('Input data (2)'!$C$2=2,$B37&gt;=0),OFFSET('Input data (2)'!AC$126,'Input data (2)'!$BL$1-$B37,0),IF(AND('Input data (2)'!$C$2=1,$A37&gt;=0),OFFSET('Input data (2)'!AC$126,'Input data (2)'!$BL$1-$A37,0),""))))</f>
        <v>30502</v>
      </c>
      <c r="R56" s="1">
        <f ca="1">IF(AND('Input data (2)'!$C$2=4,$D37&gt;=0),OFFSET('Input data (2)'!Q$126,'Input data (2)'!$BL$1-$D37,0),IF(AND('Input data (2)'!$C$2=3,$C37&gt;=0),OFFSET('Input data (2)'!Q$126,'Input data (2)'!$BL$1-$C37,0),IF(AND('Input data (2)'!$C$2=2,$B37&gt;=0),OFFSET('Input data (2)'!Q$126,'Input data (2)'!$BL$1-$B37,0),IF(AND('Input data (2)'!$C$2=1,$A37&gt;=0),OFFSET('Input data (2)'!Q$126,'Input data (2)'!$BL$1-$A37,0),""))))</f>
        <v>11101</v>
      </c>
      <c r="S56" s="1">
        <f ca="1">IF(AND('Input data (2)'!$C$2=4,$D37&gt;=0),OFFSET('Input data (2)'!R$126,'Input data (2)'!$BL$1-$D37,0),IF(AND('Input data (2)'!$C$2=3,$C37&gt;=0),OFFSET('Input data (2)'!R$126,'Input data (2)'!$BL$1-$C37,0),IF(AND('Input data (2)'!$C$2=2,$B37&gt;=0),OFFSET('Input data (2)'!R$126,'Input data (2)'!$BL$1-$B37,0),IF(AND('Input data (2)'!$C$2=1,$A37&gt;=0),OFFSET('Input data (2)'!R$126,'Input data (2)'!$BL$1-$A37,0),""))))</f>
        <v>7258</v>
      </c>
      <c r="T56" s="1">
        <f ca="1">IF(AND('Input data (2)'!$C$2=4,$D37&gt;=0),OFFSET('Input data (2)'!AA$126,'Input data (2)'!$BL$1-$D37,0),IF(AND('Input data (2)'!$C$2=3,$C37&gt;=0),OFFSET('Input data (2)'!AA$126,'Input data (2)'!$BL$1-$C37,0),IF(AND('Input data (2)'!$C$2=2,$B37&gt;=0),OFFSET('Input data (2)'!AA$126,'Input data (2)'!$BL$1-$B37,0),IF(AND('Input data (2)'!$C$2=1,$A37&gt;=0),OFFSET('Input data (2)'!AA$126,'Input data (2)'!$BL$1-$A37,0),""))))</f>
        <v>12143</v>
      </c>
      <c r="U56" s="1" t="str">
        <f ca="1">IF(AND('Input data (2)'!$C$2=4,$D37&gt;=0),OFFSET('Input data (2)'!AL$126,'Input data (2)'!$BL$1-$D37,0),IF(AND('Input data (2)'!$C$2=3,$C37&gt;=0),OFFSET('Input data (2)'!AL$126,'Input data (2)'!$BL$1-$C37,0),IF(AND('Input data (2)'!$C$2=2,$B37&gt;=0),OFFSET('Input data (2)'!AL$126,'Input data (2)'!$BL$1-$B37,0),IF(AND('Input data (2)'!$C$2=1,$A37&gt;=0),OFFSET('Input data (2)'!AL$126,'Input data (2)'!$BL$1-$A37,0),""))))</f>
        <v>:</v>
      </c>
      <c r="V56" s="1">
        <f ca="1">IF(AND('Input data (2)'!$C$2=4,$D37&gt;=0),OFFSET('Input data (2)'!AJ$126,'Input data (2)'!$BL$1-$D37,0),IF(AND('Input data (2)'!$C$2=3,$C37&gt;=0),OFFSET('Input data (2)'!AJ$126,'Input data (2)'!$BL$1-$C37,0),IF(AND('Input data (2)'!$C$2=2,$B37&gt;=0),OFFSET('Input data (2)'!AJ$126,'Input data (2)'!$BL$1-$B37,0),IF(AND('Input data (2)'!$C$2=1,$A37&gt;=0),OFFSET('Input data (2)'!AJ$126,'Input data (2)'!$BL$1-$A37,0),""))))</f>
        <v>11289</v>
      </c>
      <c r="W56" s="1">
        <f ca="1">IF(AND('Input data (2)'!$C$2=4,$D37&gt;=0),OFFSET('Input data (2)'!AK$126,'Input data (2)'!$BL$1-$D37,0),IF(AND('Input data (2)'!$C$2=3,$C37&gt;=0),OFFSET('Input data (2)'!AK$126,'Input data (2)'!$BL$1-$C37,0),IF(AND('Input data (2)'!$C$2=2,$B37&gt;=0),OFFSET('Input data (2)'!AK$126,'Input data (2)'!$BL$1-$B37,0),IF(AND('Input data (2)'!$C$2=1,$A37&gt;=0),OFFSET('Input data (2)'!AK$126,'Input data (2)'!$BL$1-$A37,0),""))))</f>
        <v>12023</v>
      </c>
      <c r="Y56" s="1">
        <f ca="1">IF(AND('Input data (2)'!$C$2=4,$D37&gt;=0),OFFSET('Input data (2)'!Q$126,'Input data (2)'!$BL$1-$D37,0),IF(AND('Input data (2)'!$C$2=3,$C37&gt;=0),OFFSET('Input data (2)'!Q$126,'Input data (2)'!$BL$1-$C37,0),IF(AND('Input data (2)'!$C$2=2,$B37&gt;=0),OFFSET('Input data (2)'!Q$126,'Input data (2)'!$BL$1-$B37,0),IF(AND('Input data (2)'!$C$2=1,$A37&gt;=0),OFFSET('Input data (2)'!Q$126,'Input data (2)'!$BL$1-$A37,0),""))))</f>
        <v>11101</v>
      </c>
      <c r="Z56" s="1">
        <f ca="1">IF(AND('Input data (2)'!$C$2=4,$D37&gt;=0),OFFSET('Input data (2)'!S$126,'Input data (2)'!$BL$1-$D37,0),IF(AND('Input data (2)'!$C$2=3,$C37&gt;=0),OFFSET('Input data (2)'!S$126,'Input data (2)'!$BL$1-$C37,0),IF(AND('Input data (2)'!$C$2=2,$B37&gt;=0),OFFSET('Input data (2)'!S$126,'Input data (2)'!$BL$1-$B37,0),IF(AND('Input data (2)'!$C$2=1,$A37&gt;=0),OFFSET('Input data (2)'!S$126,'Input data (2)'!$BL$1-$A37,0),""))))</f>
        <v>9213</v>
      </c>
      <c r="AA56" s="1">
        <f ca="1">IF(AND('Input data (2)'!$C$2=4,$D37&gt;=0),OFFSET('Input data (2)'!T$126,'Input data (2)'!$BL$1-$D37,0),IF(AND('Input data (2)'!$C$2=3,$C37&gt;=0),OFFSET('Input data (2)'!T$126,'Input data (2)'!$BL$1-$C37,0),IF(AND('Input data (2)'!$C$2=2,$B37&gt;=0),OFFSET('Input data (2)'!T$126,'Input data (2)'!$BL$1-$B37,0),IF(AND('Input data (2)'!$C$2=1,$A37&gt;=0),OFFSET('Input data (2)'!T$126,'Input data (2)'!$BL$1-$A37,0),""))))</f>
        <v>82.992523196108465</v>
      </c>
      <c r="AB56" s="1">
        <f ca="1">IF(AND('Input data (2)'!$C$2=4,$D37&gt;=0),OFFSET('Input data (2)'!U$126,'Input data (2)'!$BL$1-$D37,0),IF(AND('Input data (2)'!$C$2=3,$C37&gt;=0),OFFSET('Input data (2)'!U$126,'Input data (2)'!$BL$1-$C37,0),IF(AND('Input data (2)'!$C$2=2,$B37&gt;=0),OFFSET('Input data (2)'!U$126,'Input data (2)'!$BL$1-$B37,0),IF(AND('Input data (2)'!$C$2=1,$A37&gt;=0),OFFSET('Input data (2)'!U$126,'Input data (2)'!$BL$1-$A37,0),""))))</f>
        <v>1888</v>
      </c>
      <c r="AC56" s="1">
        <f ca="1">IF(AND('Input data (2)'!$C$2=4,$D37&gt;=0),OFFSET('Input data (2)'!V$126,'Input data (2)'!$BL$1-$D37,0),IF(AND('Input data (2)'!$C$2=3,$C37&gt;=0),OFFSET('Input data (2)'!V$126,'Input data (2)'!$BL$1-$C37,0),IF(AND('Input data (2)'!$C$2=2,$B37&gt;=0),OFFSET('Input data (2)'!V$126,'Input data (2)'!$BL$1-$B37,0),IF(AND('Input data (2)'!$C$2=1,$A37&gt;=0),OFFSET('Input data (2)'!V$126,'Input data (2)'!$BL$1-$A37,0),""))))</f>
        <v>17.007476803891542</v>
      </c>
      <c r="AD56" s="1">
        <f ca="1">IF(AND('Input data (2)'!$C$2=4,$D37&gt;=0),OFFSET('Input data (2)'!Q$126,'Input data (2)'!$BL$1-$D37,0),IF(AND('Input data (2)'!$C$2=3,$C37&gt;=0),OFFSET('Input data (2)'!Q$126,'Input data (2)'!$BL$1-$C37,0),IF(AND('Input data (2)'!$C$2=2,$B37&gt;=0),OFFSET('Input data (2)'!Q$126,'Input data (2)'!$BL$1-$B37,0),IF(AND('Input data (2)'!$C$2=1,$A37&gt;=0),OFFSET('Input data (2)'!Q$126,'Input data (2)'!$BL$1-$A37,0),""))))</f>
        <v>11101</v>
      </c>
      <c r="AE56" s="1">
        <f ca="1">IF(AND('Input data (2)'!$C$2=4,$D37&gt;=0),OFFSET('Input data (2)'!W$126,'Input data (2)'!$BL$1-$D37,0),IF(AND('Input data (2)'!$C$2=3,$C37&gt;=0),OFFSET('Input data (2)'!W$126,'Input data (2)'!$BL$1-$C37,0),IF(AND('Input data (2)'!$C$2=2,$B37&gt;=0),OFFSET('Input data (2)'!W$126,'Input data (2)'!$BL$1-$B37,0),IF(AND('Input data (2)'!$C$2=1,$A37&gt;=0),OFFSET('Input data (2)'!W$126,'Input data (2)'!$BL$1-$A37,0),""))))</f>
        <v>2324</v>
      </c>
      <c r="AF56" s="1">
        <f ca="1">IF(AND('Input data (2)'!$C$2=4,$D37&gt;=0),OFFSET('Input data (2)'!X$126,'Input data (2)'!$BL$1-$D37,0),IF(AND('Input data (2)'!$C$2=3,$C37&gt;=0),OFFSET('Input data (2)'!X$126,'Input data (2)'!$BL$1-$C37,0),IF(AND('Input data (2)'!$C$2=2,$B37&gt;=0),OFFSET('Input data (2)'!X$126,'Input data (2)'!$BL$1-$B37,0),IF(AND('Input data (2)'!$C$2=1,$A37&gt;=0),OFFSET('Input data (2)'!X$126,'Input data (2)'!$BL$1-$A37,0),""))))</f>
        <v>20.935050896315648</v>
      </c>
      <c r="AG56" s="1">
        <f ca="1">IF(AND('Input data (2)'!$C$2=4,$D37&gt;=0),OFFSET('Input data (2)'!Y$126,'Input data (2)'!$BL$1-$D37,0),IF(AND('Input data (2)'!$C$2=3,$C37&gt;=0),OFFSET('Input data (2)'!Y$126,'Input data (2)'!$BL$1-$C37,0),IF(AND('Input data (2)'!$C$2=2,$B37&gt;=0),OFFSET('Input data (2)'!Y$126,'Input data (2)'!$BL$1-$B37,0),IF(AND('Input data (2)'!$C$2=1,$A37&gt;=0),OFFSET('Input data (2)'!Y$126,'Input data (2)'!$BL$1-$A37,0),""))))</f>
        <v>8777</v>
      </c>
      <c r="AH56" s="1">
        <f ca="1">IF(AND('Input data (2)'!$C$2=4,$D37&gt;=0),OFFSET('Input data (2)'!Z$126,'Input data (2)'!$BL$1-$D37,0),IF(AND('Input data (2)'!$C$2=3,$C37&gt;=0),OFFSET('Input data (2)'!Z$126,'Input data (2)'!$BL$1-$C37,0),IF(AND('Input data (2)'!$C$2=2,$B37&gt;=0),OFFSET('Input data (2)'!Z$126,'Input data (2)'!$BL$1-$B37,0),IF(AND('Input data (2)'!$C$2=1,$A37&gt;=0),OFFSET('Input data (2)'!Z$126,'Input data (2)'!$BL$1-$A37,0),""))))</f>
        <v>79.064949103684356</v>
      </c>
      <c r="AI56" s="3"/>
      <c r="AJ56" s="124">
        <f ca="1">IF(AND('Input data (2)'!$C$2=4,$D37&gt;=0),OFFSET('Input data (2)'!AF$126,'Input data (2)'!$BL$1-$D37,0),IF(AND('Input data (2)'!$C$2=3,$C37&gt;=0),OFFSET('Input data (2)'!AF$126,'Input data (2)'!$BL$1-$C37,0),IF(AND('Input data (2)'!$C$2=2,$B37&gt;=0),OFFSET('Input data (2)'!AF$126,'Input data (2)'!$BL$1-$B37,0),IF(AND('Input data (2)'!$C$2=1,$A37&gt;=0),OFFSET('Input data (2)'!AF$126,'Input data (2)'!$BL$1-$A37,0),""))))</f>
        <v>0</v>
      </c>
      <c r="AK56" s="124" t="str">
        <f ca="1">IF(AND('Input data (2)'!$C$2=4,$D37&gt;=0),OFFSET('Input data (2)'!AD$126,'Input data (2)'!$BL$1-$D37,0),IF(AND('Input data (2)'!$C$2=3,$C37&gt;=0),OFFSET('Input data (2)'!AD$126,'Input data (2)'!$BL$1-$C37,0),IF(AND('Input data (2)'!$C$2=2,$B37&gt;=0),OFFSET('Input data (2)'!AD$126,'Input data (2)'!$BL$1-$B37,0),IF(AND('Input data (2)'!$C$2=1,$A37&gt;=0),OFFSET('Input data (2)'!AD$126,'Input data (2)'!$BL$1-$A37,0),""))))</f>
        <v>entered</v>
      </c>
      <c r="AL56" s="124">
        <f ca="1">IF(AND('Input data (2)'!$C$2=4,$D37&gt;=0),OFFSET('Input data (2)'!AE$126,'Input data (2)'!$BL$1-$D37,0),IF(AND('Input data (2)'!$C$2=3,$C37&gt;=0),OFFSET('Input data (2)'!AE$126,'Input data (2)'!$BL$1-$C37,0),IF(AND('Input data (2)'!$C$2=2,$B37&gt;=0),OFFSET('Input data (2)'!AE$126,'Input data (2)'!$BL$1-$B37,0),IF(AND('Input data (2)'!$C$2=1,$A37&gt;=0),OFFSET('Input data (2)'!AE$126,'Input data (2)'!$BL$1-$A37,0),""))))</f>
        <v>0</v>
      </c>
      <c r="AW56" s="1">
        <f ca="1">IF(AND('Input data (2)'!$C$2=4,$D37&gt;=0),OFFSET('Input data (2)'!L$126,'Input data (2)'!$BL$1-$D37,0),IF(AND('Input data (2)'!$C$2=3,$C37&gt;=0),OFFSET('Input data (2)'!L$126,'Input data (2)'!$BL$1-$C37,0),IF(AND('Input data (2)'!$C$2=2,$B37&gt;=0),OFFSET('Input data (2)'!L$126,'Input data (2)'!$BL$1-$B37,0),IF(AND('Input data (2)'!$C$2=1,$A37&gt;=0),OFFSET('Input data (2)'!L$126,'Input data (2)'!$BL$1-$A37,0),""))))</f>
        <v>350</v>
      </c>
      <c r="AX56" s="1">
        <f ca="1">IF(AND('Input data (2)'!$C$2=4,$D37&gt;=0),OFFSET('Input data (2)'!M$126,'Input data (2)'!$BL$1-$D37,0),IF(AND('Input data (2)'!$C$2=3,$C37&gt;=0),OFFSET('Input data (2)'!M$126,'Input data (2)'!$BL$1-$C37,0),IF(AND('Input data (2)'!$C$2=2,$B37&gt;=0),OFFSET('Input data (2)'!M$126,'Input data (2)'!$BL$1-$B37,0),IF(AND('Input data (2)'!$C$2=1,$A37&gt;=0),OFFSET('Input data (2)'!M$126,'Input data (2)'!$BL$1-$A37,0),""))))</f>
        <v>0</v>
      </c>
      <c r="AY56" s="1">
        <f ca="1">IF(AND('Input data (2)'!$C$2=4,$D37&gt;=0),OFFSET('Input data (2)'!N$126,'Input data (2)'!$BL$1-$D37,0),IF(AND('Input data (2)'!$C$2=3,$C37&gt;=0),OFFSET('Input data (2)'!N$126,'Input data (2)'!$BL$1-$C37,0),IF(AND('Input data (2)'!$C$2=2,$B37&gt;=0),OFFSET('Input data (2)'!N$126,'Input data (2)'!$BL$1-$B37,0),IF(AND('Input data (2)'!$C$2=1,$A37&gt;=0),OFFSET('Input data (2)'!N$126,'Input data (2)'!$BL$1-$A37,0),""))))</f>
        <v>695</v>
      </c>
      <c r="AZ56" s="1">
        <f ca="1">IF(AND('Input data (2)'!$C$2=4,$D37&gt;=0),OFFSET('Input data (2)'!P$126,'Input data (2)'!$BL$1-$D37,0),IF(AND('Input data (2)'!$C$2=3,$C37&gt;=0),OFFSET('Input data (2)'!P$126,'Input data (2)'!$BL$1-$C37,0),IF(AND('Input data (2)'!$C$2=2,$B37&gt;=0),OFFSET('Input data (2)'!P$126,'Input data (2)'!$BL$1-$B37,0),IF(AND('Input data (2)'!$C$2=1,$A37&gt;=0),OFFSET('Input data (2)'!P$126,'Input data (2)'!$BL$1-$A37,0),""))))</f>
        <v>187</v>
      </c>
      <c r="BB56" s="1">
        <f ca="1">IF(AND('Input data (2)'!$C$2=4,$D37&gt;=0),OFFSET('Input data (2)'!BB$126,'Input data (2)'!$BL$1-$D37,0),IF(AND('Input data (2)'!$C$2=3,$C37&gt;=0),OFFSET('Input data (2)'!BB$126,'Input data (2)'!$BL$1-$C37,0),IF(AND('Input data (2)'!$C$2=2,$B37&gt;=0),OFFSET('Input data (2)'!BB$126,'Input data (2)'!$BL$1-$B37,0),IF(AND('Input data (2)'!$C$2=1,$A37&gt;=0),OFFSET('Input data (2)'!BB$126,'Input data (2)'!$BL$1-$A37,0),""))))</f>
        <v>5320</v>
      </c>
      <c r="BC56" s="1">
        <f ca="1">IF(AND('Input data (2)'!$C$2=4,$D37&gt;=0),OFFSET('Input data (2)'!AY$126,'Input data (2)'!$BL$1-$D37,0),IF(AND('Input data (2)'!$C$2=3,$C37&gt;=0),OFFSET('Input data (2)'!AY$126,'Input data (2)'!$BL$1-$C37,0),IF(AND('Input data (2)'!$C$2=2,$B37&gt;=0),OFFSET('Input data (2)'!AY$126,'Input data (2)'!$BL$1-$B37,0),IF(AND('Input data (2)'!$C$2=1,$A37&gt;=0),OFFSET('Input data (2)'!AY$126,'Input data (2)'!$BL$1-$A37,0),""))))</f>
        <v>2948</v>
      </c>
      <c r="BD56" s="1">
        <f ca="1">IF(AND('Input data (2)'!$C$2=4,$D37&gt;=0),OFFSET('Input data (2)'!AZ$126,'Input data (2)'!$BL$1-$D37,0),IF(AND('Input data (2)'!$C$2=3,$C37&gt;=0),OFFSET('Input data (2)'!AZ$126,'Input data (2)'!$BL$1-$C37,0),IF(AND('Input data (2)'!$C$2=2,$B37&gt;=0),OFFSET('Input data (2)'!AZ$126,'Input data (2)'!$BL$1-$B37,0),IF(AND('Input data (2)'!$C$2=1,$A37&gt;=0),OFFSET('Input data (2)'!AZ$126,'Input data (2)'!$BL$1-$A37,0),""))))</f>
        <v>1305</v>
      </c>
      <c r="BE56" s="1">
        <f ca="1">IF(AND('Input data (2)'!$C$2=4,$D37&gt;=0),OFFSET('Input data (2)'!BA$126,'Input data (2)'!$BL$1-$D37,0),IF(AND('Input data (2)'!$C$2=3,$C37&gt;=0),OFFSET('Input data (2)'!BA$126,'Input data (2)'!$BL$1-$C37,0),IF(AND('Input data (2)'!$C$2=2,$B37&gt;=0),OFFSET('Input data (2)'!BA$126,'Input data (2)'!$BL$1-$B37,0),IF(AND('Input data (2)'!$C$2=1,$A37&gt;=0),OFFSET('Input data (2)'!BA$126,'Input data (2)'!$BL$1-$A37,0),""))))</f>
        <v>2372</v>
      </c>
      <c r="BF56" s="1">
        <f ca="1">IF(AND('Input data (2)'!$C$2=4,$D37&gt;=0),OFFSET('Input data (2)'!AP$126,'Input data (2)'!$BL$1-$D37,0),IF(AND('Input data (2)'!$C$2=3,$C37&gt;=0),OFFSET('Input data (2)'!AP$126,'Input data (2)'!$BL$1-$C37,0),IF(AND('Input data (2)'!$C$2=2,$B37&gt;=0),OFFSET('Input data (2)'!AP$126,'Input data (2)'!$BL$1-$B37,0),IF(AND('Input data (2)'!$C$2=1,$A37&gt;=0),OFFSET('Input data (2)'!AP$126,'Input data (2)'!$BL$1-$A37,0),""))))</f>
        <v>348</v>
      </c>
      <c r="BG56" s="1">
        <f ca="1">IF(AND('Input data (2)'!$C$2=4,$D37&gt;=0),OFFSET('Input data (2)'!AN$126,'Input data (2)'!$BL$1-$D37,0),IF(AND('Input data (2)'!$C$2=3,$C37&gt;=0),OFFSET('Input data (2)'!AN$126,'Input data (2)'!$BL$1-$C37,0),IF(AND('Input data (2)'!$C$2=2,$B37&gt;=0),OFFSET('Input data (2)'!AN$126,'Input data (2)'!$BL$1-$B37,0),IF(AND('Input data (2)'!$C$2=1,$A37&gt;=0),OFFSET('Input data (2)'!AN$126,'Input data (2)'!$BL$1-$A37,0),""))))</f>
        <v>261</v>
      </c>
      <c r="BH56" s="1">
        <f ca="1">IF(AND('Input data (2)'!$C$2=4,$D37&gt;=0),OFFSET('Input data (2)'!AO$126,'Input data (2)'!$BL$1-$D37,0),IF(AND('Input data (2)'!$C$2=3,$C37&gt;=0),OFFSET('Input data (2)'!AO$126,'Input data (2)'!$BL$1-$C37,0),IF(AND('Input data (2)'!$C$2=2,$B37&gt;=0),OFFSET('Input data (2)'!AO$126,'Input data (2)'!$BL$1-$B37,0),IF(AND('Input data (2)'!$C$2=1,$A37&gt;=0),OFFSET('Input data (2)'!AO$126,'Input data (2)'!$BL$1-$A37,0),""))))</f>
        <v>87</v>
      </c>
      <c r="BJ56" s="1">
        <f ca="1">IF(AND('Input data (2)'!$C$2=4,$D37&gt;=0),OFFSET('Input data (2)'!AU$126,'Input data (2)'!$BL$1-$D37,0),IF(AND('Input data (2)'!$C$2=3,$C37&gt;=0),OFFSET('Input data (2)'!AU$126,'Input data (2)'!$BL$1-$C37,0),IF(AND('Input data (2)'!$C$2=2,$B37&gt;=0),OFFSET('Input data (2)'!AU$126,'Input data (2)'!$BL$1-$B37,0),IF(AND('Input data (2)'!$C$2=1,$A37&gt;=0),OFFSET('Input data (2)'!AU$126,'Input data (2)'!$BL$1-$A37,0),""))))</f>
        <v>4</v>
      </c>
      <c r="BK56" s="1">
        <f ca="1">IF(AND('Input data (2)'!$C$2=4,$D37&gt;=0),OFFSET('Input data (2)'!AV$126,'Input data (2)'!$BL$1-$D37,0),IF(AND('Input data (2)'!$C$2=3,$C37&gt;=0),OFFSET('Input data (2)'!AV$126,'Input data (2)'!$BL$1-$C37,0),IF(AND('Input data (2)'!$C$2=2,$B37&gt;=0),OFFSET('Input data (2)'!AV$126,'Input data (2)'!$BL$1-$B37,0),IF(AND('Input data (2)'!$C$2=1,$A37&gt;=0),OFFSET('Input data (2)'!AV$126,'Input data (2)'!$BL$1-$A37,0),""))))</f>
        <v>0</v>
      </c>
      <c r="BL56" s="1">
        <f ca="1">IF(AND('Input data (2)'!$C$2=4,$D37&gt;=0),OFFSET('Input data (2)'!AW$126,'Input data (2)'!$BL$1-$D37,0),IF(AND('Input data (2)'!$C$2=3,$C37&gt;=0),OFFSET('Input data (2)'!AW$126,'Input data (2)'!$BL$1-$C37,0),IF(AND('Input data (2)'!$C$2=2,$B37&gt;=0),OFFSET('Input data (2)'!AW$126,'Input data (2)'!$BL$1-$B37,0),IF(AND('Input data (2)'!$C$2=1,$A37&gt;=0),OFFSET('Input data (2)'!AW$126,'Input data (2)'!$BL$1-$A37,0),""))))</f>
        <v>61</v>
      </c>
      <c r="BM56" s="1">
        <f ca="1">IF(AND('Input data (2)'!$C$2=4,$D37&gt;=0),OFFSET('Input data (2)'!AX$126,'Input data (2)'!$BL$1-$D37,0),IF(AND('Input data (2)'!$C$2=3,$C37&gt;=0),OFFSET('Input data (2)'!AX$126,'Input data (2)'!$BL$1-$C37,0),IF(AND('Input data (2)'!$C$2=2,$B37&gt;=0),OFFSET('Input data (2)'!AX$126,'Input data (2)'!$BL$1-$B37,0),IF(AND('Input data (2)'!$C$2=1,$A37&gt;=0),OFFSET('Input data (2)'!AX$126,'Input data (2)'!$BL$1-$A37,0),""))))</f>
        <v>5</v>
      </c>
      <c r="BO56" s="1">
        <f ca="1">IF(AND('Input data (2)'!$C$2=4,$D37&gt;=0),OFFSET('Input data (2)'!BL$126,'Input data (2)'!$BL$1-$D37,0),IF(AND('Input data (2)'!$C$2=3,$C37&gt;=0),OFFSET('Input data (2)'!BL$126,'Input data (2)'!$BL$1-$C37,0),IF(AND('Input data (2)'!$C$2=2,$B37&gt;=0),OFFSET('Input data (2)'!BL$126,'Input data (2)'!$BL$1-$B37,0),IF(AND('Input data (2)'!$C$2=1,$A37&gt;=0),OFFSET('Input data (2)'!BL$126,'Input data (2)'!$BL$1-$A37,0),""))))</f>
        <v>752</v>
      </c>
      <c r="BP56" s="1">
        <f ca="1">IF(AND('Input data (2)'!$C$2=4,$D37&gt;=0),OFFSET('Input data (2)'!BI$126,'Input data (2)'!$BL$1-$D37,0),IF(AND('Input data (2)'!$C$2=3,$C37&gt;=0),OFFSET('Input data (2)'!BI$126,'Input data (2)'!$BL$1-$C37,0),IF(AND('Input data (2)'!$C$2=2,$B37&gt;=0),OFFSET('Input data (2)'!BI$126,'Input data (2)'!$BL$1-$B37,0),IF(AND('Input data (2)'!$C$2=1,$A37&gt;=0),OFFSET('Input data (2)'!BI$126,'Input data (2)'!$BL$1-$A37,0),""))))</f>
        <v>451</v>
      </c>
      <c r="BQ56" s="1" t="str">
        <f ca="1">IF(AND('Input data (2)'!$C$2=4,$D37&gt;=0),OFFSET('Input data (2)'!BK$126,'Input data (2)'!$BL$1-$D37,0),IF(AND('Input data (2)'!$C$2=3,$C37&gt;=0),OFFSET('Input data (2)'!BK$126,'Input data (2)'!$BL$1-$C37,0),IF(AND('Input data (2)'!$C$2=2,$B37&gt;=0),OFFSET('Input data (2)'!BK$126,'Input data (2)'!$BL$1-$B37,0),IF(AND('Input data (2)'!$C$2=1,$A37&gt;=0),OFFSET('Input data (2)'!BK$126,'Input data (2)'!$BL$1-$A37,0),""))))</f>
        <v>..</v>
      </c>
      <c r="BR56" s="1">
        <f ca="1">IF(AND('Input data (2)'!$C$2=4,$D37&gt;=0),OFFSET('Input data (2)'!BJ$126,'Input data (2)'!$BL$1-$D37,0),IF(AND('Input data (2)'!$C$2=3,$C37&gt;=0),OFFSET('Input data (2)'!BJ$126,'Input data (2)'!$BL$1-$C37,0),IF(AND('Input data (2)'!$C$2=2,$B37&gt;=0),OFFSET('Input data (2)'!BJ$126,'Input data (2)'!$BL$1-$B37,0),IF(AND('Input data (2)'!$C$2=1,$A37&gt;=0),OFFSET('Input data (2)'!BJ$126,'Input data (2)'!$BL$1-$A37,0),""))))</f>
        <v>301</v>
      </c>
      <c r="BS56" s="1">
        <f ca="1">IF(AND('Input data (2)'!$C$2=4,$D37&gt;=0),OFFSET('Input data (2)'!BF$126,'Input data (2)'!$BL$1-$D37,0),IF(AND('Input data (2)'!$C$2=3,$C37&gt;=0),OFFSET('Input data (2)'!BF$126,'Input data (2)'!$BL$1-$C37,0),IF(AND('Input data (2)'!$C$2=2,$B37&gt;=0),OFFSET('Input data (2)'!BF$126,'Input data (2)'!$BL$1-$B37,0),IF(AND('Input data (2)'!$C$2=1,$A37&gt;=0),OFFSET('Input data (2)'!BF$126,'Input data (2)'!$BL$1-$A37,0),""))))</f>
        <v>91</v>
      </c>
      <c r="BT56" s="1">
        <f ca="1">IF(AND('Input data (2)'!$C$2=4,$D37&gt;=0),OFFSET('Input data (2)'!BD$126,'Input data (2)'!$BL$1-$D37,0),IF(AND('Input data (2)'!$C$2=3,$C37&gt;=0),OFFSET('Input data (2)'!BD$126,'Input data (2)'!$BL$1-$C37,0),IF(AND('Input data (2)'!$C$2=2,$B37&gt;=0),OFFSET('Input data (2)'!BD$126,'Input data (2)'!$BL$1-$B37,0),IF(AND('Input data (2)'!$C$2=1,$A37&gt;=0),OFFSET('Input data (2)'!BD$126,'Input data (2)'!$BL$1-$A37,0),""))))</f>
        <v>56</v>
      </c>
      <c r="BU56" s="1">
        <f ca="1">IF(AND('Input data (2)'!$C$2=4,$D37&gt;=0),OFFSET('Input data (2)'!BE$126,'Input data (2)'!$BL$1-$D37,0),IF(AND('Input data (2)'!$C$2=3,$C37&gt;=0),OFFSET('Input data (2)'!BE$126,'Input data (2)'!$BL$1-$C37,0),IF(AND('Input data (2)'!$C$2=2,$B37&gt;=0),OFFSET('Input data (2)'!BE$126,'Input data (2)'!$BL$1-$B37,0),IF(AND('Input data (2)'!$C$2=1,$A37&gt;=0),OFFSET('Input data (2)'!BE$126,'Input data (2)'!$BL$1-$A37,0),""))))</f>
        <v>35</v>
      </c>
      <c r="BW56" s="7">
        <f ca="1">IF(AND('Input data (2)'!$C$2=4,$D37&gt;=0),OFFSET('Input data (2)'!J$126,'Input data (2)'!$BL$1-$D37,0),IF(AND('Input data (2)'!$C$2=3,$C37&gt;=0),OFFSET('Input data (2)'!J$126,'Input data (2)'!$BL$1-$C37,0),IF(AND('Input data (2)'!$C$2=2,$B37&gt;=0),OFFSET('Input data (2)'!J$126,'Input data (2)'!$BL$1-$B37,0),IF(AND('Input data (2)'!$C$2=1,$A37&gt;=0),OFFSET('Input data (2)'!J$126,'Input data (2)'!$BL$1-$A37,0),""))))</f>
        <v>0.77321717277302082</v>
      </c>
      <c r="BX56" s="7">
        <f ca="1">IF(AND('Input data (2)'!$C$2=4,$D37&gt;=0),OFFSET('Input data (2)'!K$126,'Input data (2)'!$BL$1-$D37,0),IF(AND('Input data (2)'!$C$2=3,$C37&gt;=0),OFFSET('Input data (2)'!K$126,'Input data (2)'!$BL$1-$C37,0),IF(AND('Input data (2)'!$C$2=2,$B37&gt;=0),OFFSET('Input data (2)'!K$126,'Input data (2)'!$BL$1-$B37,0),IF(AND('Input data (2)'!$C$2=1,$A37&gt;=0),OFFSET('Input data (2)'!K$126,'Input data (2)'!$BL$1-$A37,0),""))))</f>
        <v>0.7057226926409923</v>
      </c>
      <c r="BY56" s="7">
        <f ca="1">IF(AND('Input data (2)'!$C$2=4,$D37&gt;=0),OFFSET('Input data (2)'!AS$126,'Input data (2)'!$BL$1-$D37,0),IF(AND('Input data (2)'!$C$2=3,$C37&gt;=0),OFFSET('Input data (2)'!AS$126,'Input data (2)'!$BL$1-$C37,0),IF(AND('Input data (2)'!$C$2=2,$B37&gt;=0),OFFSET('Input data (2)'!AS$126,'Input data (2)'!$BL$1-$B37,0),IF(AND('Input data (2)'!$C$2=1,$A37&gt;=0),OFFSET('Input data (2)'!AS$126,'Input data (2)'!$BL$1-$A37,0),""))))</f>
        <v>0.82512567921357094</v>
      </c>
      <c r="BZ56" s="7">
        <f ca="1">IF(AND('Input data (2)'!$C$2=4,$D37&gt;=0),OFFSET('Input data (2)'!AT$126,'Input data (2)'!$BL$1-$D37,0),IF(AND('Input data (2)'!$C$2=3,$C37&gt;=0),OFFSET('Input data (2)'!AT$126,'Input data (2)'!$BL$1-$C37,0),IF(AND('Input data (2)'!$C$2=2,$B37&gt;=0),OFFSET('Input data (2)'!AT$126,'Input data (2)'!$BL$1-$B37,0),IF(AND('Input data (2)'!$C$2=1,$A37&gt;=0),OFFSET('Input data (2)'!AT$126,'Input data (2)'!$BL$1-$A37,0),""))))</f>
        <v>0.7355939199404008</v>
      </c>
      <c r="CB56" s="122"/>
      <c r="CC56" s="122"/>
      <c r="CD56" s="122"/>
      <c r="CE56" s="122"/>
      <c r="CI56" s="3"/>
      <c r="CJ56" s="3"/>
    </row>
    <row r="57" spans="5:94" x14ac:dyDescent="0.15">
      <c r="E57" s="1" t="str">
        <f>F57&amp;G57</f>
        <v>2011Q3</v>
      </c>
      <c r="F57" s="1">
        <f>F52+1</f>
        <v>2011</v>
      </c>
      <c r="G57" s="1" t="s">
        <v>3</v>
      </c>
      <c r="H57" s="1">
        <f>VLOOKUP($E57,'Input data (2)'!$A:$BL,'Output data - DO NOT TOUCH (2)'!H$71,FALSE)</f>
        <v>4152</v>
      </c>
      <c r="I57" s="1">
        <f>VLOOKUP($E57,'Input data (2)'!$A:$BL,'Output data - DO NOT TOUCH (2)'!I$71,FALSE)</f>
        <v>1149</v>
      </c>
      <c r="J57" s="1">
        <f>VLOOKUP($E57,'Input data (2)'!$A:$BL,'Output data - DO NOT TOUCH (2)'!J$71,FALSE)</f>
        <v>3003</v>
      </c>
      <c r="K57" s="1">
        <f>VLOOKUP($E57,'Input data (2)'!$A:$BL,'Output data - DO NOT TOUCH (2)'!K$71,FALSE)</f>
        <v>4254</v>
      </c>
      <c r="L57" s="1">
        <f>VLOOKUP($E57,'Input data (2)'!$A:$BL,'Output data - DO NOT TOUCH (2)'!L$71,FALSE)</f>
        <v>1197</v>
      </c>
      <c r="M57" s="1">
        <f>VLOOKUP($E57,'Input data (2)'!$A:$BL,'Output data - DO NOT TOUCH (2)'!M$71,FALSE)</f>
        <v>3057</v>
      </c>
      <c r="O57" s="119">
        <f ca="1">IF(AND('Input data (2)'!$C$2=4,$D38&gt;=0),OFFSET('Input data (2)'!O$126,'Input data (2)'!$BL$1-$D38,0),IF(AND('Input data (2)'!$C$2=3,$C38&gt;=0),OFFSET('Input data (2)'!O$126,'Input data (2)'!$BL$1-$C38,0),IF(AND('Input data (2)'!$C$2=2,$B38&gt;=0),OFFSET('Input data (2)'!O$126,'Input data (2)'!$BL$1-$B38,0),IF(AND('Input data (2)'!$C$2=1,$A38&gt;=0),OFFSET('Input data (2)'!O$126,'Input data (2)'!$BL$1-$A38,0),""))))</f>
        <v>293</v>
      </c>
      <c r="Q57" s="1">
        <f ca="1">IF(AND('Input data (2)'!$C$2=4,$D38&gt;=0),OFFSET('Input data (2)'!AC$126,'Input data (2)'!$BL$1-$D38,0),IF(AND('Input data (2)'!$C$2=3,$C38&gt;=0),OFFSET('Input data (2)'!AC$126,'Input data (2)'!$BL$1-$C38,0),IF(AND('Input data (2)'!$C$2=2,$B38&gt;=0),OFFSET('Input data (2)'!AC$126,'Input data (2)'!$BL$1-$B38,0),IF(AND('Input data (2)'!$C$2=1,$A38&gt;=0),OFFSET('Input data (2)'!AC$126,'Input data (2)'!$BL$1-$A38,0),""))))</f>
        <v>30230</v>
      </c>
      <c r="R57" s="1">
        <f ca="1">IF(AND('Input data (2)'!$C$2=4,$D38&gt;=0),OFFSET('Input data (2)'!Q$126,'Input data (2)'!$BL$1-$D38,0),IF(AND('Input data (2)'!$C$2=3,$C38&gt;=0),OFFSET('Input data (2)'!Q$126,'Input data (2)'!$BL$1-$C38,0),IF(AND('Input data (2)'!$C$2=2,$B38&gt;=0),OFFSET('Input data (2)'!Q$126,'Input data (2)'!$BL$1-$B38,0),IF(AND('Input data (2)'!$C$2=1,$A38&gt;=0),OFFSET('Input data (2)'!Q$126,'Input data (2)'!$BL$1-$A38,0),""))))</f>
        <v>9578</v>
      </c>
      <c r="S57" s="1">
        <f ca="1">IF(AND('Input data (2)'!$C$2=4,$D38&gt;=0),OFFSET('Input data (2)'!R$126,'Input data (2)'!$BL$1-$D38,0),IF(AND('Input data (2)'!$C$2=3,$C38&gt;=0),OFFSET('Input data (2)'!R$126,'Input data (2)'!$BL$1-$C38,0),IF(AND('Input data (2)'!$C$2=2,$B38&gt;=0),OFFSET('Input data (2)'!R$126,'Input data (2)'!$BL$1-$B38,0),IF(AND('Input data (2)'!$C$2=1,$A38&gt;=0),OFFSET('Input data (2)'!R$126,'Input data (2)'!$BL$1-$A38,0),""))))</f>
        <v>7604</v>
      </c>
      <c r="T57" s="1">
        <f ca="1">IF(AND('Input data (2)'!$C$2=4,$D38&gt;=0),OFFSET('Input data (2)'!AA$126,'Input data (2)'!$BL$1-$D38,0),IF(AND('Input data (2)'!$C$2=3,$C38&gt;=0),OFFSET('Input data (2)'!AA$126,'Input data (2)'!$BL$1-$C38,0),IF(AND('Input data (2)'!$C$2=2,$B38&gt;=0),OFFSET('Input data (2)'!AA$126,'Input data (2)'!$BL$1-$B38,0),IF(AND('Input data (2)'!$C$2=1,$A38&gt;=0),OFFSET('Input data (2)'!AA$126,'Input data (2)'!$BL$1-$A38,0),""))))</f>
        <v>13048</v>
      </c>
      <c r="U57" s="1" t="str">
        <f ca="1">IF(AND('Input data (2)'!$C$2=4,$D38&gt;=0),OFFSET('Input data (2)'!AL$126,'Input data (2)'!$BL$1-$D38,0),IF(AND('Input data (2)'!$C$2=3,$C38&gt;=0),OFFSET('Input data (2)'!AL$126,'Input data (2)'!$BL$1-$C38,0),IF(AND('Input data (2)'!$C$2=2,$B38&gt;=0),OFFSET('Input data (2)'!AL$126,'Input data (2)'!$BL$1-$B38,0),IF(AND('Input data (2)'!$C$2=1,$A38&gt;=0),OFFSET('Input data (2)'!AL$126,'Input data (2)'!$BL$1-$A38,0),""))))</f>
        <v>:</v>
      </c>
      <c r="V57" s="1">
        <f ca="1">IF(AND('Input data (2)'!$C$2=4,$D38&gt;=0),OFFSET('Input data (2)'!AJ$126,'Input data (2)'!$BL$1-$D38,0),IF(AND('Input data (2)'!$C$2=3,$C38&gt;=0),OFFSET('Input data (2)'!AJ$126,'Input data (2)'!$BL$1-$C38,0),IF(AND('Input data (2)'!$C$2=2,$B38&gt;=0),OFFSET('Input data (2)'!AJ$126,'Input data (2)'!$BL$1-$B38,0),IF(AND('Input data (2)'!$C$2=1,$A38&gt;=0),OFFSET('Input data (2)'!AJ$126,'Input data (2)'!$BL$1-$A38,0),""))))</f>
        <v>9719</v>
      </c>
      <c r="W57" s="1">
        <f ca="1">IF(AND('Input data (2)'!$C$2=4,$D38&gt;=0),OFFSET('Input data (2)'!AK$126,'Input data (2)'!$BL$1-$D38,0),IF(AND('Input data (2)'!$C$2=3,$C38&gt;=0),OFFSET('Input data (2)'!AK$126,'Input data (2)'!$BL$1-$C38,0),IF(AND('Input data (2)'!$C$2=2,$B38&gt;=0),OFFSET('Input data (2)'!AK$126,'Input data (2)'!$BL$1-$B38,0),IF(AND('Input data (2)'!$C$2=1,$A38&gt;=0),OFFSET('Input data (2)'!AK$126,'Input data (2)'!$BL$1-$A38,0),""))))</f>
        <v>12512</v>
      </c>
      <c r="Y57" s="1">
        <f ca="1">IF(AND('Input data (2)'!$C$2=4,$D38&gt;=0),OFFSET('Input data (2)'!Q$126,'Input data (2)'!$BL$1-$D38,0),IF(AND('Input data (2)'!$C$2=3,$C38&gt;=0),OFFSET('Input data (2)'!Q$126,'Input data (2)'!$BL$1-$C38,0),IF(AND('Input data (2)'!$C$2=2,$B38&gt;=0),OFFSET('Input data (2)'!Q$126,'Input data (2)'!$BL$1-$B38,0),IF(AND('Input data (2)'!$C$2=1,$A38&gt;=0),OFFSET('Input data (2)'!Q$126,'Input data (2)'!$BL$1-$A38,0),""))))</f>
        <v>9578</v>
      </c>
      <c r="Z57" s="1">
        <f ca="1">IF(AND('Input data (2)'!$C$2=4,$D38&gt;=0),OFFSET('Input data (2)'!S$126,'Input data (2)'!$BL$1-$D38,0),IF(AND('Input data (2)'!$C$2=3,$C38&gt;=0),OFFSET('Input data (2)'!S$126,'Input data (2)'!$BL$1-$C38,0),IF(AND('Input data (2)'!$C$2=2,$B38&gt;=0),OFFSET('Input data (2)'!S$126,'Input data (2)'!$BL$1-$B38,0),IF(AND('Input data (2)'!$C$2=1,$A38&gt;=0),OFFSET('Input data (2)'!S$126,'Input data (2)'!$BL$1-$A38,0),""))))</f>
        <v>7554</v>
      </c>
      <c r="AA57" s="1">
        <f ca="1">IF(AND('Input data (2)'!$C$2=4,$D38&gt;=0),OFFSET('Input data (2)'!T$126,'Input data (2)'!$BL$1-$D38,0),IF(AND('Input data (2)'!$C$2=3,$C38&gt;=0),OFFSET('Input data (2)'!T$126,'Input data (2)'!$BL$1-$C38,0),IF(AND('Input data (2)'!$C$2=2,$B38&gt;=0),OFFSET('Input data (2)'!T$126,'Input data (2)'!$BL$1-$B38,0),IF(AND('Input data (2)'!$C$2=1,$A38&gt;=0),OFFSET('Input data (2)'!T$126,'Input data (2)'!$BL$1-$A38,0),""))))</f>
        <v>78.868239716015864</v>
      </c>
      <c r="AB57" s="1">
        <f ca="1">IF(AND('Input data (2)'!$C$2=4,$D38&gt;=0),OFFSET('Input data (2)'!U$126,'Input data (2)'!$BL$1-$D38,0),IF(AND('Input data (2)'!$C$2=3,$C38&gt;=0),OFFSET('Input data (2)'!U$126,'Input data (2)'!$BL$1-$C38,0),IF(AND('Input data (2)'!$C$2=2,$B38&gt;=0),OFFSET('Input data (2)'!U$126,'Input data (2)'!$BL$1-$B38,0),IF(AND('Input data (2)'!$C$2=1,$A38&gt;=0),OFFSET('Input data (2)'!U$126,'Input data (2)'!$BL$1-$A38,0),""))))</f>
        <v>2024</v>
      </c>
      <c r="AC57" s="1">
        <f ca="1">IF(AND('Input data (2)'!$C$2=4,$D38&gt;=0),OFFSET('Input data (2)'!V$126,'Input data (2)'!$BL$1-$D38,0),IF(AND('Input data (2)'!$C$2=3,$C38&gt;=0),OFFSET('Input data (2)'!V$126,'Input data (2)'!$BL$1-$C38,0),IF(AND('Input data (2)'!$C$2=2,$B38&gt;=0),OFFSET('Input data (2)'!V$126,'Input data (2)'!$BL$1-$B38,0),IF(AND('Input data (2)'!$C$2=1,$A38&gt;=0),OFFSET('Input data (2)'!V$126,'Input data (2)'!$BL$1-$A38,0),""))))</f>
        <v>21.131760283984129</v>
      </c>
      <c r="AD57" s="1">
        <f ca="1">IF(AND('Input data (2)'!$C$2=4,$D38&gt;=0),OFFSET('Input data (2)'!Q$126,'Input data (2)'!$BL$1-$D38,0),IF(AND('Input data (2)'!$C$2=3,$C38&gt;=0),OFFSET('Input data (2)'!Q$126,'Input data (2)'!$BL$1-$C38,0),IF(AND('Input data (2)'!$C$2=2,$B38&gt;=0),OFFSET('Input data (2)'!Q$126,'Input data (2)'!$BL$1-$B38,0),IF(AND('Input data (2)'!$C$2=1,$A38&gt;=0),OFFSET('Input data (2)'!Q$126,'Input data (2)'!$BL$1-$A38,0),""))))</f>
        <v>9578</v>
      </c>
      <c r="AE57" s="1">
        <f ca="1">IF(AND('Input data (2)'!$C$2=4,$D38&gt;=0),OFFSET('Input data (2)'!W$126,'Input data (2)'!$BL$1-$D38,0),IF(AND('Input data (2)'!$C$2=3,$C38&gt;=0),OFFSET('Input data (2)'!W$126,'Input data (2)'!$BL$1-$C38,0),IF(AND('Input data (2)'!$C$2=2,$B38&gt;=0),OFFSET('Input data (2)'!W$126,'Input data (2)'!$BL$1-$B38,0),IF(AND('Input data (2)'!$C$2=1,$A38&gt;=0),OFFSET('Input data (2)'!W$126,'Input data (2)'!$BL$1-$A38,0),""))))</f>
        <v>2035</v>
      </c>
      <c r="AF57" s="1">
        <f ca="1">IF(AND('Input data (2)'!$C$2=4,$D38&gt;=0),OFFSET('Input data (2)'!X$126,'Input data (2)'!$BL$1-$D38,0),IF(AND('Input data (2)'!$C$2=3,$C38&gt;=0),OFFSET('Input data (2)'!X$126,'Input data (2)'!$BL$1-$C38,0),IF(AND('Input data (2)'!$C$2=2,$B38&gt;=0),OFFSET('Input data (2)'!X$126,'Input data (2)'!$BL$1-$B38,0),IF(AND('Input data (2)'!$C$2=1,$A38&gt;=0),OFFSET('Input data (2)'!X$126,'Input data (2)'!$BL$1-$A38,0),""))))</f>
        <v>21.246606807266652</v>
      </c>
      <c r="AG57" s="1">
        <f ca="1">IF(AND('Input data (2)'!$C$2=4,$D38&gt;=0),OFFSET('Input data (2)'!Y$126,'Input data (2)'!$BL$1-$D38,0),IF(AND('Input data (2)'!$C$2=3,$C38&gt;=0),OFFSET('Input data (2)'!Y$126,'Input data (2)'!$BL$1-$C38,0),IF(AND('Input data (2)'!$C$2=2,$B38&gt;=0),OFFSET('Input data (2)'!Y$126,'Input data (2)'!$BL$1-$B38,0),IF(AND('Input data (2)'!$C$2=1,$A38&gt;=0),OFFSET('Input data (2)'!Y$126,'Input data (2)'!$BL$1-$A38,0),""))))</f>
        <v>7543</v>
      </c>
      <c r="AH57" s="1">
        <f ca="1">IF(AND('Input data (2)'!$C$2=4,$D38&gt;=0),OFFSET('Input data (2)'!Z$126,'Input data (2)'!$BL$1-$D38,0),IF(AND('Input data (2)'!$C$2=3,$C38&gt;=0),OFFSET('Input data (2)'!Z$126,'Input data (2)'!$BL$1-$C38,0),IF(AND('Input data (2)'!$C$2=2,$B38&gt;=0),OFFSET('Input data (2)'!Z$126,'Input data (2)'!$BL$1-$B38,0),IF(AND('Input data (2)'!$C$2=1,$A38&gt;=0),OFFSET('Input data (2)'!Z$126,'Input data (2)'!$BL$1-$A38,0),""))))</f>
        <v>78.753393192733341</v>
      </c>
      <c r="AI57" s="3"/>
      <c r="AJ57" s="124">
        <f ca="1">IF(AND('Input data (2)'!$C$2=4,$D38&gt;=0),OFFSET('Input data (2)'!AF$126,'Input data (2)'!$BL$1-$D38,0),IF(AND('Input data (2)'!$C$2=3,$C38&gt;=0),OFFSET('Input data (2)'!AF$126,'Input data (2)'!$BL$1-$C38,0),IF(AND('Input data (2)'!$C$2=2,$B38&gt;=0),OFFSET('Input data (2)'!AF$126,'Input data (2)'!$BL$1-$B38,0),IF(AND('Input data (2)'!$C$2=1,$A38&gt;=0),OFFSET('Input data (2)'!AF$126,'Input data (2)'!$BL$1-$A38,0),""))))</f>
        <v>0</v>
      </c>
      <c r="AK57" s="124" t="str">
        <f ca="1">IF(AND('Input data (2)'!$C$2=4,$D38&gt;=0),OFFSET('Input data (2)'!AD$126,'Input data (2)'!$BL$1-$D38,0),IF(AND('Input data (2)'!$C$2=3,$C38&gt;=0),OFFSET('Input data (2)'!AD$126,'Input data (2)'!$BL$1-$C38,0),IF(AND('Input data (2)'!$C$2=2,$B38&gt;=0),OFFSET('Input data (2)'!AD$126,'Input data (2)'!$BL$1-$B38,0),IF(AND('Input data (2)'!$C$2=1,$A38&gt;=0),OFFSET('Input data (2)'!AD$126,'Input data (2)'!$BL$1-$A38,0),""))))</f>
        <v>straight to</v>
      </c>
      <c r="AL57" s="124">
        <f ca="1">IF(AND('Input data (2)'!$C$2=4,$D38&gt;=0),OFFSET('Input data (2)'!AE$126,'Input data (2)'!$BL$1-$D38,0),IF(AND('Input data (2)'!$C$2=3,$C38&gt;=0),OFFSET('Input data (2)'!AE$126,'Input data (2)'!$BL$1-$C38,0),IF(AND('Input data (2)'!$C$2=2,$B38&gt;=0),OFFSET('Input data (2)'!AE$126,'Input data (2)'!$BL$1-$B38,0),IF(AND('Input data (2)'!$C$2=1,$A38&gt;=0),OFFSET('Input data (2)'!AE$126,'Input data (2)'!$BL$1-$A38,0),""))))</f>
        <v>0</v>
      </c>
      <c r="AW57" s="1">
        <f ca="1">IF(AND('Input data (2)'!$C$2=4,$D38&gt;=0),OFFSET('Input data (2)'!L$126,'Input data (2)'!$BL$1-$D38,0),IF(AND('Input data (2)'!$C$2=3,$C38&gt;=0),OFFSET('Input data (2)'!L$126,'Input data (2)'!$BL$1-$C38,0),IF(AND('Input data (2)'!$C$2=2,$B38&gt;=0),OFFSET('Input data (2)'!L$126,'Input data (2)'!$BL$1-$B38,0),IF(AND('Input data (2)'!$C$2=1,$A38&gt;=0),OFFSET('Input data (2)'!L$126,'Input data (2)'!$BL$1-$A38,0),""))))</f>
        <v>374</v>
      </c>
      <c r="AX57" s="1">
        <f ca="1">IF(AND('Input data (2)'!$C$2=4,$D38&gt;=0),OFFSET('Input data (2)'!M$126,'Input data (2)'!$BL$1-$D38,0),IF(AND('Input data (2)'!$C$2=3,$C38&gt;=0),OFFSET('Input data (2)'!M$126,'Input data (2)'!$BL$1-$C38,0),IF(AND('Input data (2)'!$C$2=2,$B38&gt;=0),OFFSET('Input data (2)'!M$126,'Input data (2)'!$BL$1-$B38,0),IF(AND('Input data (2)'!$C$2=1,$A38&gt;=0),OFFSET('Input data (2)'!M$126,'Input data (2)'!$BL$1-$A38,0),""))))</f>
        <v>0</v>
      </c>
      <c r="AY57" s="1">
        <f ca="1">IF(AND('Input data (2)'!$C$2=4,$D38&gt;=0),OFFSET('Input data (2)'!N$126,'Input data (2)'!$BL$1-$D38,0),IF(AND('Input data (2)'!$C$2=3,$C38&gt;=0),OFFSET('Input data (2)'!N$126,'Input data (2)'!$BL$1-$C38,0),IF(AND('Input data (2)'!$C$2=2,$B38&gt;=0),OFFSET('Input data (2)'!N$126,'Input data (2)'!$BL$1-$B38,0),IF(AND('Input data (2)'!$C$2=1,$A38&gt;=0),OFFSET('Input data (2)'!N$126,'Input data (2)'!$BL$1-$A38,0),""))))</f>
        <v>673</v>
      </c>
      <c r="AZ57" s="1">
        <f ca="1">IF(AND('Input data (2)'!$C$2=4,$D38&gt;=0),OFFSET('Input data (2)'!P$126,'Input data (2)'!$BL$1-$D38,0),IF(AND('Input data (2)'!$C$2=3,$C38&gt;=0),OFFSET('Input data (2)'!P$126,'Input data (2)'!$BL$1-$C38,0),IF(AND('Input data (2)'!$C$2=2,$B38&gt;=0),OFFSET('Input data (2)'!P$126,'Input data (2)'!$BL$1-$B38,0),IF(AND('Input data (2)'!$C$2=1,$A38&gt;=0),OFFSET('Input data (2)'!P$126,'Input data (2)'!$BL$1-$A38,0),""))))</f>
        <v>206</v>
      </c>
      <c r="BB57" s="1">
        <f ca="1">IF(AND('Input data (2)'!$C$2=4,$D38&gt;=0),OFFSET('Input data (2)'!BB$126,'Input data (2)'!$BL$1-$D38,0),IF(AND('Input data (2)'!$C$2=3,$C38&gt;=0),OFFSET('Input data (2)'!BB$126,'Input data (2)'!$BL$1-$C38,0),IF(AND('Input data (2)'!$C$2=2,$B38&gt;=0),OFFSET('Input data (2)'!BB$126,'Input data (2)'!$BL$1-$B38,0),IF(AND('Input data (2)'!$C$2=1,$A38&gt;=0),OFFSET('Input data (2)'!BB$126,'Input data (2)'!$BL$1-$A38,0),""))))</f>
        <v>5383</v>
      </c>
      <c r="BC57" s="1">
        <f ca="1">IF(AND('Input data (2)'!$C$2=4,$D38&gt;=0),OFFSET('Input data (2)'!AY$126,'Input data (2)'!$BL$1-$D38,0),IF(AND('Input data (2)'!$C$2=3,$C38&gt;=0),OFFSET('Input data (2)'!AY$126,'Input data (2)'!$BL$1-$C38,0),IF(AND('Input data (2)'!$C$2=2,$B38&gt;=0),OFFSET('Input data (2)'!AY$126,'Input data (2)'!$BL$1-$B38,0),IF(AND('Input data (2)'!$C$2=1,$A38&gt;=0),OFFSET('Input data (2)'!AY$126,'Input data (2)'!$BL$1-$A38,0),""))))</f>
        <v>2857</v>
      </c>
      <c r="BD57" s="1">
        <f ca="1">IF(AND('Input data (2)'!$C$2=4,$D38&gt;=0),OFFSET('Input data (2)'!AZ$126,'Input data (2)'!$BL$1-$D38,0),IF(AND('Input data (2)'!$C$2=3,$C38&gt;=0),OFFSET('Input data (2)'!AZ$126,'Input data (2)'!$BL$1-$C38,0),IF(AND('Input data (2)'!$C$2=2,$B38&gt;=0),OFFSET('Input data (2)'!AZ$126,'Input data (2)'!$BL$1-$B38,0),IF(AND('Input data (2)'!$C$2=1,$A38&gt;=0),OFFSET('Input data (2)'!AZ$126,'Input data (2)'!$BL$1-$A38,0),""))))</f>
        <v>1223</v>
      </c>
      <c r="BE57" s="1">
        <f ca="1">IF(AND('Input data (2)'!$C$2=4,$D38&gt;=0),OFFSET('Input data (2)'!BA$126,'Input data (2)'!$BL$1-$D38,0),IF(AND('Input data (2)'!$C$2=3,$C38&gt;=0),OFFSET('Input data (2)'!BA$126,'Input data (2)'!$BL$1-$C38,0),IF(AND('Input data (2)'!$C$2=2,$B38&gt;=0),OFFSET('Input data (2)'!BA$126,'Input data (2)'!$BL$1-$B38,0),IF(AND('Input data (2)'!$C$2=1,$A38&gt;=0),OFFSET('Input data (2)'!BA$126,'Input data (2)'!$BL$1-$A38,0),""))))</f>
        <v>2526</v>
      </c>
      <c r="BF57" s="1">
        <f ca="1">IF(AND('Input data (2)'!$C$2=4,$D38&gt;=0),OFFSET('Input data (2)'!AP$126,'Input data (2)'!$BL$1-$D38,0),IF(AND('Input data (2)'!$C$2=3,$C38&gt;=0),OFFSET('Input data (2)'!AP$126,'Input data (2)'!$BL$1-$C38,0),IF(AND('Input data (2)'!$C$2=2,$B38&gt;=0),OFFSET('Input data (2)'!AP$126,'Input data (2)'!$BL$1-$B38,0),IF(AND('Input data (2)'!$C$2=1,$A38&gt;=0),OFFSET('Input data (2)'!AP$126,'Input data (2)'!$BL$1-$A38,0),""))))</f>
        <v>320</v>
      </c>
      <c r="BG57" s="1">
        <f ca="1">IF(AND('Input data (2)'!$C$2=4,$D38&gt;=0),OFFSET('Input data (2)'!AN$126,'Input data (2)'!$BL$1-$D38,0),IF(AND('Input data (2)'!$C$2=3,$C38&gt;=0),OFFSET('Input data (2)'!AN$126,'Input data (2)'!$BL$1-$C38,0),IF(AND('Input data (2)'!$C$2=2,$B38&gt;=0),OFFSET('Input data (2)'!AN$126,'Input data (2)'!$BL$1-$B38,0),IF(AND('Input data (2)'!$C$2=1,$A38&gt;=0),OFFSET('Input data (2)'!AN$126,'Input data (2)'!$BL$1-$A38,0),""))))</f>
        <v>236</v>
      </c>
      <c r="BH57" s="1">
        <f ca="1">IF(AND('Input data (2)'!$C$2=4,$D38&gt;=0),OFFSET('Input data (2)'!AO$126,'Input data (2)'!$BL$1-$D38,0),IF(AND('Input data (2)'!$C$2=3,$C38&gt;=0),OFFSET('Input data (2)'!AO$126,'Input data (2)'!$BL$1-$C38,0),IF(AND('Input data (2)'!$C$2=2,$B38&gt;=0),OFFSET('Input data (2)'!AO$126,'Input data (2)'!$BL$1-$B38,0),IF(AND('Input data (2)'!$C$2=1,$A38&gt;=0),OFFSET('Input data (2)'!AO$126,'Input data (2)'!$BL$1-$A38,0),""))))</f>
        <v>84</v>
      </c>
      <c r="BJ57" s="1">
        <f ca="1">IF(AND('Input data (2)'!$C$2=4,$D38&gt;=0),OFFSET('Input data (2)'!AU$126,'Input data (2)'!$BL$1-$D38,0),IF(AND('Input data (2)'!$C$2=3,$C38&gt;=0),OFFSET('Input data (2)'!AU$126,'Input data (2)'!$BL$1-$C38,0),IF(AND('Input data (2)'!$C$2=2,$B38&gt;=0),OFFSET('Input data (2)'!AU$126,'Input data (2)'!$BL$1-$B38,0),IF(AND('Input data (2)'!$C$2=1,$A38&gt;=0),OFFSET('Input data (2)'!AU$126,'Input data (2)'!$BL$1-$A38,0),""))))</f>
        <v>0</v>
      </c>
      <c r="BK57" s="1">
        <f ca="1">IF(AND('Input data (2)'!$C$2=4,$D38&gt;=0),OFFSET('Input data (2)'!AV$126,'Input data (2)'!$BL$1-$D38,0),IF(AND('Input data (2)'!$C$2=3,$C38&gt;=0),OFFSET('Input data (2)'!AV$126,'Input data (2)'!$BL$1-$C38,0),IF(AND('Input data (2)'!$C$2=2,$B38&gt;=0),OFFSET('Input data (2)'!AV$126,'Input data (2)'!$BL$1-$B38,0),IF(AND('Input data (2)'!$C$2=1,$A38&gt;=0),OFFSET('Input data (2)'!AV$126,'Input data (2)'!$BL$1-$A38,0),""))))</f>
        <v>0</v>
      </c>
      <c r="BL57" s="1">
        <f ca="1">IF(AND('Input data (2)'!$C$2=4,$D38&gt;=0),OFFSET('Input data (2)'!AW$126,'Input data (2)'!$BL$1-$D38,0),IF(AND('Input data (2)'!$C$2=3,$C38&gt;=0),OFFSET('Input data (2)'!AW$126,'Input data (2)'!$BL$1-$C38,0),IF(AND('Input data (2)'!$C$2=2,$B38&gt;=0),OFFSET('Input data (2)'!AW$126,'Input data (2)'!$BL$1-$B38,0),IF(AND('Input data (2)'!$C$2=1,$A38&gt;=0),OFFSET('Input data (2)'!AW$126,'Input data (2)'!$BL$1-$A38,0),""))))</f>
        <v>52</v>
      </c>
      <c r="BM57" s="1">
        <f ca="1">IF(AND('Input data (2)'!$C$2=4,$D38&gt;=0),OFFSET('Input data (2)'!AX$126,'Input data (2)'!$BL$1-$D38,0),IF(AND('Input data (2)'!$C$2=3,$C38&gt;=0),OFFSET('Input data (2)'!AX$126,'Input data (2)'!$BL$1-$C38,0),IF(AND('Input data (2)'!$C$2=2,$B38&gt;=0),OFFSET('Input data (2)'!AX$126,'Input data (2)'!$BL$1-$B38,0),IF(AND('Input data (2)'!$C$2=1,$A38&gt;=0),OFFSET('Input data (2)'!AX$126,'Input data (2)'!$BL$1-$A38,0),""))))</f>
        <v>1</v>
      </c>
      <c r="BO57" s="1">
        <f ca="1">IF(AND('Input data (2)'!$C$2=4,$D38&gt;=0),OFFSET('Input data (2)'!BL$126,'Input data (2)'!$BL$1-$D38,0),IF(AND('Input data (2)'!$C$2=3,$C38&gt;=0),OFFSET('Input data (2)'!BL$126,'Input data (2)'!$BL$1-$C38,0),IF(AND('Input data (2)'!$C$2=2,$B38&gt;=0),OFFSET('Input data (2)'!BL$126,'Input data (2)'!$BL$1-$B38,0),IF(AND('Input data (2)'!$C$2=1,$A38&gt;=0),OFFSET('Input data (2)'!BL$126,'Input data (2)'!$BL$1-$A38,0),""))))</f>
        <v>608</v>
      </c>
      <c r="BP57" s="1">
        <f ca="1">IF(AND('Input data (2)'!$C$2=4,$D38&gt;=0),OFFSET('Input data (2)'!BI$126,'Input data (2)'!$BL$1-$D38,0),IF(AND('Input data (2)'!$C$2=3,$C38&gt;=0),OFFSET('Input data (2)'!BI$126,'Input data (2)'!$BL$1-$C38,0),IF(AND('Input data (2)'!$C$2=2,$B38&gt;=0),OFFSET('Input data (2)'!BI$126,'Input data (2)'!$BL$1-$B38,0),IF(AND('Input data (2)'!$C$2=1,$A38&gt;=0),OFFSET('Input data (2)'!BI$126,'Input data (2)'!$BL$1-$A38,0),""))))</f>
        <v>301</v>
      </c>
      <c r="BQ57" s="1">
        <f ca="1">IF(AND('Input data (2)'!$C$2=4,$D38&gt;=0),OFFSET('Input data (2)'!BK$126,'Input data (2)'!$BL$1-$D38,0),IF(AND('Input data (2)'!$C$2=3,$C38&gt;=0),OFFSET('Input data (2)'!BK$126,'Input data (2)'!$BL$1-$C38,0),IF(AND('Input data (2)'!$C$2=2,$B38&gt;=0),OFFSET('Input data (2)'!BK$126,'Input data (2)'!$BL$1-$B38,0),IF(AND('Input data (2)'!$C$2=1,$A38&gt;=0),OFFSET('Input data (2)'!BK$126,'Input data (2)'!$BL$1-$A38,0),""))))</f>
        <v>34</v>
      </c>
      <c r="BR57" s="1">
        <f ca="1">IF(AND('Input data (2)'!$C$2=4,$D38&gt;=0),OFFSET('Input data (2)'!BJ$126,'Input data (2)'!$BL$1-$D38,0),IF(AND('Input data (2)'!$C$2=3,$C38&gt;=0),OFFSET('Input data (2)'!BJ$126,'Input data (2)'!$BL$1-$C38,0),IF(AND('Input data (2)'!$C$2=2,$B38&gt;=0),OFFSET('Input data (2)'!BJ$126,'Input data (2)'!$BL$1-$B38,0),IF(AND('Input data (2)'!$C$2=1,$A38&gt;=0),OFFSET('Input data (2)'!BJ$126,'Input data (2)'!$BL$1-$A38,0),""))))</f>
        <v>273</v>
      </c>
      <c r="BS57" s="1">
        <f ca="1">IF(AND('Input data (2)'!$C$2=4,$D38&gt;=0),OFFSET('Input data (2)'!BF$126,'Input data (2)'!$BL$1-$D38,0),IF(AND('Input data (2)'!$C$2=3,$C38&gt;=0),OFFSET('Input data (2)'!BF$126,'Input data (2)'!$BL$1-$C38,0),IF(AND('Input data (2)'!$C$2=2,$B38&gt;=0),OFFSET('Input data (2)'!BF$126,'Input data (2)'!$BL$1-$B38,0),IF(AND('Input data (2)'!$C$2=1,$A38&gt;=0),OFFSET('Input data (2)'!BF$126,'Input data (2)'!$BL$1-$A38,0),""))))</f>
        <v>82</v>
      </c>
      <c r="BT57" s="1">
        <f ca="1">IF(AND('Input data (2)'!$C$2=4,$D38&gt;=0),OFFSET('Input data (2)'!BD$126,'Input data (2)'!$BL$1-$D38,0),IF(AND('Input data (2)'!$C$2=3,$C38&gt;=0),OFFSET('Input data (2)'!BD$126,'Input data (2)'!$BL$1-$C38,0),IF(AND('Input data (2)'!$C$2=2,$B38&gt;=0),OFFSET('Input data (2)'!BD$126,'Input data (2)'!$BL$1-$B38,0),IF(AND('Input data (2)'!$C$2=1,$A38&gt;=0),OFFSET('Input data (2)'!BD$126,'Input data (2)'!$BL$1-$A38,0),""))))</f>
        <v>43</v>
      </c>
      <c r="BU57" s="1">
        <f ca="1">IF(AND('Input data (2)'!$C$2=4,$D38&gt;=0),OFFSET('Input data (2)'!BE$126,'Input data (2)'!$BL$1-$D38,0),IF(AND('Input data (2)'!$C$2=3,$C38&gt;=0),OFFSET('Input data (2)'!BE$126,'Input data (2)'!$BL$1-$C38,0),IF(AND('Input data (2)'!$C$2=2,$B38&gt;=0),OFFSET('Input data (2)'!BE$126,'Input data (2)'!$BL$1-$B38,0),IF(AND('Input data (2)'!$C$2=1,$A38&gt;=0),OFFSET('Input data (2)'!BE$126,'Input data (2)'!$BL$1-$A38,0),""))))</f>
        <v>39</v>
      </c>
      <c r="BW57" s="7">
        <f ca="1">IF(AND('Input data (2)'!$C$2=4,$D38&gt;=0),OFFSET('Input data (2)'!J$126,'Input data (2)'!$BL$1-$D38,0),IF(AND('Input data (2)'!$C$2=3,$C38&gt;=0),OFFSET('Input data (2)'!J$126,'Input data (2)'!$BL$1-$C38,0),IF(AND('Input data (2)'!$C$2=2,$B38&gt;=0),OFFSET('Input data (2)'!J$126,'Input data (2)'!$BL$1-$B38,0),IF(AND('Input data (2)'!$C$2=1,$A38&gt;=0),OFFSET('Input data (2)'!J$126,'Input data (2)'!$BL$1-$A38,0),""))))</f>
        <v>0.77390636901227106</v>
      </c>
      <c r="BX57" s="7">
        <f ca="1">IF(AND('Input data (2)'!$C$2=4,$D38&gt;=0),OFFSET('Input data (2)'!K$126,'Input data (2)'!$BL$1-$D38,0),IF(AND('Input data (2)'!$C$2=3,$C38&gt;=0),OFFSET('Input data (2)'!K$126,'Input data (2)'!$BL$1-$C38,0),IF(AND('Input data (2)'!$C$2=2,$B38&gt;=0),OFFSET('Input data (2)'!K$126,'Input data (2)'!$BL$1-$B38,0),IF(AND('Input data (2)'!$C$2=1,$A38&gt;=0),OFFSET('Input data (2)'!K$126,'Input data (2)'!$BL$1-$A38,0),""))))</f>
        <v>0.70756488884439772</v>
      </c>
      <c r="BY57" s="7">
        <f ca="1">IF(AND('Input data (2)'!$C$2=4,$D38&gt;=0),OFFSET('Input data (2)'!AS$126,'Input data (2)'!$BL$1-$D38,0),IF(AND('Input data (2)'!$C$2=3,$C38&gt;=0),OFFSET('Input data (2)'!AS$126,'Input data (2)'!$BL$1-$C38,0),IF(AND('Input data (2)'!$C$2=2,$B38&gt;=0),OFFSET('Input data (2)'!AS$126,'Input data (2)'!$BL$1-$B38,0),IF(AND('Input data (2)'!$C$2=1,$A38&gt;=0),OFFSET('Input data (2)'!AS$126,'Input data (2)'!$BL$1-$A38,0),""))))</f>
        <v>0.88787642726570171</v>
      </c>
      <c r="BZ57" s="7">
        <f ca="1">IF(AND('Input data (2)'!$C$2=4,$D38&gt;=0),OFFSET('Input data (2)'!AT$126,'Input data (2)'!$BL$1-$D38,0),IF(AND('Input data (2)'!$C$2=3,$C38&gt;=0),OFFSET('Input data (2)'!AT$126,'Input data (2)'!$BL$1-$C38,0),IF(AND('Input data (2)'!$C$2=2,$B38&gt;=0),OFFSET('Input data (2)'!AT$126,'Input data (2)'!$BL$1-$B38,0),IF(AND('Input data (2)'!$C$2=1,$A38&gt;=0),OFFSET('Input data (2)'!AT$126,'Input data (2)'!$BL$1-$A38,0),""))))</f>
        <v>0.7917560833314421</v>
      </c>
      <c r="CB57" s="122"/>
      <c r="CC57" s="122"/>
      <c r="CD57" s="122"/>
      <c r="CE57" s="122"/>
    </row>
    <row r="58" spans="5:94" x14ac:dyDescent="0.15">
      <c r="E58" s="1" t="str">
        <f>F58&amp;G58</f>
        <v>2011Q4</v>
      </c>
      <c r="F58" s="1">
        <f>F53+1</f>
        <v>2011</v>
      </c>
      <c r="G58" s="1" t="s">
        <v>4</v>
      </c>
      <c r="H58" s="1">
        <f>VLOOKUP($E58,'Input data (2)'!$A:$BL,'Output data - DO NOT TOUCH (2)'!H$71,FALSE)</f>
        <v>4169</v>
      </c>
      <c r="I58" s="1">
        <f>VLOOKUP($E58,'Input data (2)'!$A:$BL,'Output data - DO NOT TOUCH (2)'!I$71,FALSE)</f>
        <v>1426</v>
      </c>
      <c r="J58" s="1">
        <f>VLOOKUP($E58,'Input data (2)'!$A:$BL,'Output data - DO NOT TOUCH (2)'!J$71,FALSE)</f>
        <v>2743</v>
      </c>
      <c r="K58" s="1">
        <f>VLOOKUP($E58,'Input data (2)'!$A:$BL,'Output data - DO NOT TOUCH (2)'!K$71,FALSE)</f>
        <v>4294</v>
      </c>
      <c r="L58" s="1">
        <f>VLOOKUP($E58,'Input data (2)'!$A:$BL,'Output data - DO NOT TOUCH (2)'!L$71,FALSE)</f>
        <v>1403</v>
      </c>
      <c r="M58" s="1">
        <f>VLOOKUP($E58,'Input data (2)'!$A:$BL,'Output data - DO NOT TOUCH (2)'!M$71,FALSE)</f>
        <v>2891</v>
      </c>
      <c r="O58" s="119">
        <f ca="1">IF(AND('Input data (2)'!$C$2=4,$D39&gt;=0),OFFSET('Input data (2)'!O$126,'Input data (2)'!$BL$1-$D39,0),IF(AND('Input data (2)'!$C$2=3,$C39&gt;=0),OFFSET('Input data (2)'!O$126,'Input data (2)'!$BL$1-$C39,0),IF(AND('Input data (2)'!$C$2=2,$B39&gt;=0),OFFSET('Input data (2)'!O$126,'Input data (2)'!$BL$1-$B39,0),IF(AND('Input data (2)'!$C$2=1,$A39&gt;=0),OFFSET('Input data (2)'!O$126,'Input data (2)'!$BL$1-$A39,0),""))))</f>
        <v>247</v>
      </c>
      <c r="Q58" s="1">
        <f ca="1">IF(AND('Input data (2)'!$C$2=4,$D39&gt;=0),OFFSET('Input data (2)'!AC$126,'Input data (2)'!$BL$1-$D39,0),IF(AND('Input data (2)'!$C$2=3,$C39&gt;=0),OFFSET('Input data (2)'!AC$126,'Input data (2)'!$BL$1-$C39,0),IF(AND('Input data (2)'!$C$2=2,$B39&gt;=0),OFFSET('Input data (2)'!AC$126,'Input data (2)'!$BL$1-$B39,0),IF(AND('Input data (2)'!$C$2=1,$A39&gt;=0),OFFSET('Input data (2)'!AC$126,'Input data (2)'!$BL$1-$A39,0),""))))</f>
        <v>29064</v>
      </c>
      <c r="R58" s="1">
        <f ca="1">IF(AND('Input data (2)'!$C$2=4,$D39&gt;=0),OFFSET('Input data (2)'!Q$126,'Input data (2)'!$BL$1-$D39,0),IF(AND('Input data (2)'!$C$2=3,$C39&gt;=0),OFFSET('Input data (2)'!Q$126,'Input data (2)'!$BL$1-$C39,0),IF(AND('Input data (2)'!$C$2=2,$B39&gt;=0),OFFSET('Input data (2)'!Q$126,'Input data (2)'!$BL$1-$B39,0),IF(AND('Input data (2)'!$C$2=1,$A39&gt;=0),OFFSET('Input data (2)'!Q$126,'Input data (2)'!$BL$1-$A39,0),""))))</f>
        <v>8658</v>
      </c>
      <c r="S58" s="1">
        <f ca="1">IF(AND('Input data (2)'!$C$2=4,$D39&gt;=0),OFFSET('Input data (2)'!R$126,'Input data (2)'!$BL$1-$D39,0),IF(AND('Input data (2)'!$C$2=3,$C39&gt;=0),OFFSET('Input data (2)'!R$126,'Input data (2)'!$BL$1-$C39,0),IF(AND('Input data (2)'!$C$2=2,$B39&gt;=0),OFFSET('Input data (2)'!R$126,'Input data (2)'!$BL$1-$B39,0),IF(AND('Input data (2)'!$C$2=1,$A39&gt;=0),OFFSET('Input data (2)'!R$126,'Input data (2)'!$BL$1-$A39,0),""))))</f>
        <v>7359</v>
      </c>
      <c r="T58" s="1">
        <f ca="1">IF(AND('Input data (2)'!$C$2=4,$D39&gt;=0),OFFSET('Input data (2)'!AA$126,'Input data (2)'!$BL$1-$D39,0),IF(AND('Input data (2)'!$C$2=3,$C39&gt;=0),OFFSET('Input data (2)'!AA$126,'Input data (2)'!$BL$1-$C39,0),IF(AND('Input data (2)'!$C$2=2,$B39&gt;=0),OFFSET('Input data (2)'!AA$126,'Input data (2)'!$BL$1-$B39,0),IF(AND('Input data (2)'!$C$2=1,$A39&gt;=0),OFFSET('Input data (2)'!AA$126,'Input data (2)'!$BL$1-$A39,0),""))))</f>
        <v>13047</v>
      </c>
      <c r="U58" s="1" t="str">
        <f ca="1">IF(AND('Input data (2)'!$C$2=4,$D39&gt;=0),OFFSET('Input data (2)'!AL$126,'Input data (2)'!$BL$1-$D39,0),IF(AND('Input data (2)'!$C$2=3,$C39&gt;=0),OFFSET('Input data (2)'!AL$126,'Input data (2)'!$BL$1-$C39,0),IF(AND('Input data (2)'!$C$2=2,$B39&gt;=0),OFFSET('Input data (2)'!AL$126,'Input data (2)'!$BL$1-$B39,0),IF(AND('Input data (2)'!$C$2=1,$A39&gt;=0),OFFSET('Input data (2)'!AL$126,'Input data (2)'!$BL$1-$A39,0),""))))</f>
        <v>:</v>
      </c>
      <c r="V58" s="1">
        <f ca="1">IF(AND('Input data (2)'!$C$2=4,$D39&gt;=0),OFFSET('Input data (2)'!AJ$126,'Input data (2)'!$BL$1-$D39,0),IF(AND('Input data (2)'!$C$2=3,$C39&gt;=0),OFFSET('Input data (2)'!AJ$126,'Input data (2)'!$BL$1-$C39,0),IF(AND('Input data (2)'!$C$2=2,$B39&gt;=0),OFFSET('Input data (2)'!AJ$126,'Input data (2)'!$BL$1-$B39,0),IF(AND('Input data (2)'!$C$2=1,$A39&gt;=0),OFFSET('Input data (2)'!AJ$126,'Input data (2)'!$BL$1-$A39,0),""))))</f>
        <v>9114</v>
      </c>
      <c r="W58" s="1">
        <f ca="1">IF(AND('Input data (2)'!$C$2=4,$D39&gt;=0),OFFSET('Input data (2)'!AK$126,'Input data (2)'!$BL$1-$D39,0),IF(AND('Input data (2)'!$C$2=3,$C39&gt;=0),OFFSET('Input data (2)'!AK$126,'Input data (2)'!$BL$1-$C39,0),IF(AND('Input data (2)'!$C$2=2,$B39&gt;=0),OFFSET('Input data (2)'!AK$126,'Input data (2)'!$BL$1-$B39,0),IF(AND('Input data (2)'!$C$2=1,$A39&gt;=0),OFFSET('Input data (2)'!AK$126,'Input data (2)'!$BL$1-$A39,0),""))))</f>
        <v>12864</v>
      </c>
      <c r="Y58" s="1">
        <f ca="1">IF(AND('Input data (2)'!$C$2=4,$D39&gt;=0),OFFSET('Input data (2)'!Q$126,'Input data (2)'!$BL$1-$D39,0),IF(AND('Input data (2)'!$C$2=3,$C39&gt;=0),OFFSET('Input data (2)'!Q$126,'Input data (2)'!$BL$1-$C39,0),IF(AND('Input data (2)'!$C$2=2,$B39&gt;=0),OFFSET('Input data (2)'!Q$126,'Input data (2)'!$BL$1-$B39,0),IF(AND('Input data (2)'!$C$2=1,$A39&gt;=0),OFFSET('Input data (2)'!Q$126,'Input data (2)'!$BL$1-$A39,0),""))))</f>
        <v>8658</v>
      </c>
      <c r="Z58" s="1">
        <f ca="1">IF(AND('Input data (2)'!$C$2=4,$D39&gt;=0),OFFSET('Input data (2)'!S$126,'Input data (2)'!$BL$1-$D39,0),IF(AND('Input data (2)'!$C$2=3,$C39&gt;=0),OFFSET('Input data (2)'!S$126,'Input data (2)'!$BL$1-$C39,0),IF(AND('Input data (2)'!$C$2=2,$B39&gt;=0),OFFSET('Input data (2)'!S$126,'Input data (2)'!$BL$1-$B39,0),IF(AND('Input data (2)'!$C$2=1,$A39&gt;=0),OFFSET('Input data (2)'!S$126,'Input data (2)'!$BL$1-$A39,0),""))))</f>
        <v>6749</v>
      </c>
      <c r="AA58" s="1">
        <f ca="1">IF(AND('Input data (2)'!$C$2=4,$D39&gt;=0),OFFSET('Input data (2)'!T$126,'Input data (2)'!$BL$1-$D39,0),IF(AND('Input data (2)'!$C$2=3,$C39&gt;=0),OFFSET('Input data (2)'!T$126,'Input data (2)'!$BL$1-$C39,0),IF(AND('Input data (2)'!$C$2=2,$B39&gt;=0),OFFSET('Input data (2)'!T$126,'Input data (2)'!$BL$1-$B39,0),IF(AND('Input data (2)'!$C$2=1,$A39&gt;=0),OFFSET('Input data (2)'!T$126,'Input data (2)'!$BL$1-$A39,0),""))))</f>
        <v>77.951027951027953</v>
      </c>
      <c r="AB58" s="1">
        <f ca="1">IF(AND('Input data (2)'!$C$2=4,$D39&gt;=0),OFFSET('Input data (2)'!U$126,'Input data (2)'!$BL$1-$D39,0),IF(AND('Input data (2)'!$C$2=3,$C39&gt;=0),OFFSET('Input data (2)'!U$126,'Input data (2)'!$BL$1-$C39,0),IF(AND('Input data (2)'!$C$2=2,$B39&gt;=0),OFFSET('Input data (2)'!U$126,'Input data (2)'!$BL$1-$B39,0),IF(AND('Input data (2)'!$C$2=1,$A39&gt;=0),OFFSET('Input data (2)'!U$126,'Input data (2)'!$BL$1-$A39,0),""))))</f>
        <v>1909</v>
      </c>
      <c r="AC58" s="1">
        <f ca="1">IF(AND('Input data (2)'!$C$2=4,$D39&gt;=0),OFFSET('Input data (2)'!V$126,'Input data (2)'!$BL$1-$D39,0),IF(AND('Input data (2)'!$C$2=3,$C39&gt;=0),OFFSET('Input data (2)'!V$126,'Input data (2)'!$BL$1-$C39,0),IF(AND('Input data (2)'!$C$2=2,$B39&gt;=0),OFFSET('Input data (2)'!V$126,'Input data (2)'!$BL$1-$B39,0),IF(AND('Input data (2)'!$C$2=1,$A39&gt;=0),OFFSET('Input data (2)'!V$126,'Input data (2)'!$BL$1-$A39,0),""))))</f>
        <v>22.048972048972047</v>
      </c>
      <c r="AD58" s="1">
        <f ca="1">IF(AND('Input data (2)'!$C$2=4,$D39&gt;=0),OFFSET('Input data (2)'!Q$126,'Input data (2)'!$BL$1-$D39,0),IF(AND('Input data (2)'!$C$2=3,$C39&gt;=0),OFFSET('Input data (2)'!Q$126,'Input data (2)'!$BL$1-$C39,0),IF(AND('Input data (2)'!$C$2=2,$B39&gt;=0),OFFSET('Input data (2)'!Q$126,'Input data (2)'!$BL$1-$B39,0),IF(AND('Input data (2)'!$C$2=1,$A39&gt;=0),OFFSET('Input data (2)'!Q$126,'Input data (2)'!$BL$1-$A39,0),""))))</f>
        <v>8658</v>
      </c>
      <c r="AE58" s="1">
        <f ca="1">IF(AND('Input data (2)'!$C$2=4,$D39&gt;=0),OFFSET('Input data (2)'!W$126,'Input data (2)'!$BL$1-$D39,0),IF(AND('Input data (2)'!$C$2=3,$C39&gt;=0),OFFSET('Input data (2)'!W$126,'Input data (2)'!$BL$1-$C39,0),IF(AND('Input data (2)'!$C$2=2,$B39&gt;=0),OFFSET('Input data (2)'!W$126,'Input data (2)'!$BL$1-$B39,0),IF(AND('Input data (2)'!$C$2=1,$A39&gt;=0),OFFSET('Input data (2)'!W$126,'Input data (2)'!$BL$1-$A39,0),""))))</f>
        <v>1955</v>
      </c>
      <c r="AF58" s="1">
        <f ca="1">IF(AND('Input data (2)'!$C$2=4,$D39&gt;=0),OFFSET('Input data (2)'!X$126,'Input data (2)'!$BL$1-$D39,0),IF(AND('Input data (2)'!$C$2=3,$C39&gt;=0),OFFSET('Input data (2)'!X$126,'Input data (2)'!$BL$1-$C39,0),IF(AND('Input data (2)'!$C$2=2,$B39&gt;=0),OFFSET('Input data (2)'!X$126,'Input data (2)'!$BL$1-$B39,0),IF(AND('Input data (2)'!$C$2=1,$A39&gt;=0),OFFSET('Input data (2)'!X$126,'Input data (2)'!$BL$1-$A39,0),""))))</f>
        <v>22.580272580272581</v>
      </c>
      <c r="AG58" s="1">
        <f ca="1">IF(AND('Input data (2)'!$C$2=4,$D39&gt;=0),OFFSET('Input data (2)'!Y$126,'Input data (2)'!$BL$1-$D39,0),IF(AND('Input data (2)'!$C$2=3,$C39&gt;=0),OFFSET('Input data (2)'!Y$126,'Input data (2)'!$BL$1-$C39,0),IF(AND('Input data (2)'!$C$2=2,$B39&gt;=0),OFFSET('Input data (2)'!Y$126,'Input data (2)'!$BL$1-$B39,0),IF(AND('Input data (2)'!$C$2=1,$A39&gt;=0),OFFSET('Input data (2)'!Y$126,'Input data (2)'!$BL$1-$A39,0),""))))</f>
        <v>6703</v>
      </c>
      <c r="AH58" s="1">
        <f ca="1">IF(AND('Input data (2)'!$C$2=4,$D39&gt;=0),OFFSET('Input data (2)'!Z$126,'Input data (2)'!$BL$1-$D39,0),IF(AND('Input data (2)'!$C$2=3,$C39&gt;=0),OFFSET('Input data (2)'!Z$126,'Input data (2)'!$BL$1-$C39,0),IF(AND('Input data (2)'!$C$2=2,$B39&gt;=0),OFFSET('Input data (2)'!Z$126,'Input data (2)'!$BL$1-$B39,0),IF(AND('Input data (2)'!$C$2=1,$A39&gt;=0),OFFSET('Input data (2)'!Z$126,'Input data (2)'!$BL$1-$A39,0),""))))</f>
        <v>77.419727419727423</v>
      </c>
      <c r="AI58" s="3"/>
      <c r="AJ58" s="124">
        <f ca="1">IF(AND('Input data (2)'!$C$2=4,$D39&gt;=0),OFFSET('Input data (2)'!AF$126,'Input data (2)'!$BL$1-$D39,0),IF(AND('Input data (2)'!$C$2=3,$C39&gt;=0),OFFSET('Input data (2)'!AF$126,'Input data (2)'!$BL$1-$C39,0),IF(AND('Input data (2)'!$C$2=2,$B39&gt;=0),OFFSET('Input data (2)'!AF$126,'Input data (2)'!$BL$1-$B39,0),IF(AND('Input data (2)'!$C$2=1,$A39&gt;=0),OFFSET('Input data (2)'!AF$126,'Input data (2)'!$BL$1-$A39,0),""))))</f>
        <v>0</v>
      </c>
      <c r="AK58" s="124" t="str">
        <f ca="1">IF(AND('Input data (2)'!$C$2=4,$D39&gt;=0),OFFSET('Input data (2)'!AD$126,'Input data (2)'!$BL$1-$D39,0),IF(AND('Input data (2)'!$C$2=3,$C39&gt;=0),OFFSET('Input data (2)'!AD$126,'Input data (2)'!$BL$1-$C39,0),IF(AND('Input data (2)'!$C$2=2,$B39&gt;=0),OFFSET('Input data (2)'!AD$126,'Input data (2)'!$BL$1-$B39,0),IF(AND('Input data (2)'!$C$2=1,$A39&gt;=0),OFFSET('Input data (2)'!AD$126,'Input data (2)'!$BL$1-$A39,0),""))))</f>
        <v>new table in file</v>
      </c>
      <c r="AL58" s="124">
        <f ca="1">IF(AND('Input data (2)'!$C$2=4,$D39&gt;=0),OFFSET('Input data (2)'!AE$126,'Input data (2)'!$BL$1-$D39,0),IF(AND('Input data (2)'!$C$2=3,$C39&gt;=0),OFFSET('Input data (2)'!AE$126,'Input data (2)'!$BL$1-$C39,0),IF(AND('Input data (2)'!$C$2=2,$B39&gt;=0),OFFSET('Input data (2)'!AE$126,'Input data (2)'!$BL$1-$B39,0),IF(AND('Input data (2)'!$C$2=1,$A39&gt;=0),OFFSET('Input data (2)'!AE$126,'Input data (2)'!$BL$1-$A39,0),""))))</f>
        <v>0</v>
      </c>
      <c r="AW58" s="1">
        <f ca="1">IF(AND('Input data (2)'!$C$2=4,$D39&gt;=0),OFFSET('Input data (2)'!L$126,'Input data (2)'!$BL$1-$D39,0),IF(AND('Input data (2)'!$C$2=3,$C39&gt;=0),OFFSET('Input data (2)'!L$126,'Input data (2)'!$BL$1-$C39,0),IF(AND('Input data (2)'!$C$2=2,$B39&gt;=0),OFFSET('Input data (2)'!L$126,'Input data (2)'!$BL$1-$B39,0),IF(AND('Input data (2)'!$C$2=1,$A39&gt;=0),OFFSET('Input data (2)'!L$126,'Input data (2)'!$BL$1-$A39,0),""))))</f>
        <v>324</v>
      </c>
      <c r="AX58" s="1">
        <f ca="1">IF(AND('Input data (2)'!$C$2=4,$D39&gt;=0),OFFSET('Input data (2)'!M$126,'Input data (2)'!$BL$1-$D39,0),IF(AND('Input data (2)'!$C$2=3,$C39&gt;=0),OFFSET('Input data (2)'!M$126,'Input data (2)'!$BL$1-$C39,0),IF(AND('Input data (2)'!$C$2=2,$B39&gt;=0),OFFSET('Input data (2)'!M$126,'Input data (2)'!$BL$1-$B39,0),IF(AND('Input data (2)'!$C$2=1,$A39&gt;=0),OFFSET('Input data (2)'!M$126,'Input data (2)'!$BL$1-$A39,0),""))))</f>
        <v>0</v>
      </c>
      <c r="AY58" s="1">
        <f ca="1">IF(AND('Input data (2)'!$C$2=4,$D39&gt;=0),OFFSET('Input data (2)'!N$126,'Input data (2)'!$BL$1-$D39,0),IF(AND('Input data (2)'!$C$2=3,$C39&gt;=0),OFFSET('Input data (2)'!N$126,'Input data (2)'!$BL$1-$C39,0),IF(AND('Input data (2)'!$C$2=2,$B39&gt;=0),OFFSET('Input data (2)'!N$126,'Input data (2)'!$BL$1-$B39,0),IF(AND('Input data (2)'!$C$2=1,$A39&gt;=0),OFFSET('Input data (2)'!N$126,'Input data (2)'!$BL$1-$A39,0),""))))</f>
        <v>658</v>
      </c>
      <c r="AZ58" s="1">
        <f ca="1">IF(AND('Input data (2)'!$C$2=4,$D39&gt;=0),OFFSET('Input data (2)'!P$126,'Input data (2)'!$BL$1-$D39,0),IF(AND('Input data (2)'!$C$2=3,$C39&gt;=0),OFFSET('Input data (2)'!P$126,'Input data (2)'!$BL$1-$C39,0),IF(AND('Input data (2)'!$C$2=2,$B39&gt;=0),OFFSET('Input data (2)'!P$126,'Input data (2)'!$BL$1-$B39,0),IF(AND('Input data (2)'!$C$2=1,$A39&gt;=0),OFFSET('Input data (2)'!P$126,'Input data (2)'!$BL$1-$A39,0),""))))</f>
        <v>191</v>
      </c>
      <c r="BB58" s="1">
        <f ca="1">IF(AND('Input data (2)'!$C$2=4,$D39&gt;=0),OFFSET('Input data (2)'!BB$126,'Input data (2)'!$BL$1-$D39,0),IF(AND('Input data (2)'!$C$2=3,$C39&gt;=0),OFFSET('Input data (2)'!BB$126,'Input data (2)'!$BL$1-$C39,0),IF(AND('Input data (2)'!$C$2=2,$B39&gt;=0),OFFSET('Input data (2)'!BB$126,'Input data (2)'!$BL$1-$B39,0),IF(AND('Input data (2)'!$C$2=1,$A39&gt;=0),OFFSET('Input data (2)'!BB$126,'Input data (2)'!$BL$1-$A39,0),""))))</f>
        <v>4674</v>
      </c>
      <c r="BC58" s="1">
        <f ca="1">IF(AND('Input data (2)'!$C$2=4,$D39&gt;=0),OFFSET('Input data (2)'!AY$126,'Input data (2)'!$BL$1-$D39,0),IF(AND('Input data (2)'!$C$2=3,$C39&gt;=0),OFFSET('Input data (2)'!AY$126,'Input data (2)'!$BL$1-$C39,0),IF(AND('Input data (2)'!$C$2=2,$B39&gt;=0),OFFSET('Input data (2)'!AY$126,'Input data (2)'!$BL$1-$B39,0),IF(AND('Input data (2)'!$C$2=1,$A39&gt;=0),OFFSET('Input data (2)'!AY$126,'Input data (2)'!$BL$1-$A39,0),""))))</f>
        <v>2625</v>
      </c>
      <c r="BD58" s="1">
        <f ca="1">IF(AND('Input data (2)'!$C$2=4,$D39&gt;=0),OFFSET('Input data (2)'!AZ$126,'Input data (2)'!$BL$1-$D39,0),IF(AND('Input data (2)'!$C$2=3,$C39&gt;=0),OFFSET('Input data (2)'!AZ$126,'Input data (2)'!$BL$1-$C39,0),IF(AND('Input data (2)'!$C$2=2,$B39&gt;=0),OFFSET('Input data (2)'!AZ$126,'Input data (2)'!$BL$1-$B39,0),IF(AND('Input data (2)'!$C$2=1,$A39&gt;=0),OFFSET('Input data (2)'!AZ$126,'Input data (2)'!$BL$1-$A39,0),""))))</f>
        <v>1080</v>
      </c>
      <c r="BE58" s="1">
        <f ca="1">IF(AND('Input data (2)'!$C$2=4,$D39&gt;=0),OFFSET('Input data (2)'!BA$126,'Input data (2)'!$BL$1-$D39,0),IF(AND('Input data (2)'!$C$2=3,$C39&gt;=0),OFFSET('Input data (2)'!BA$126,'Input data (2)'!$BL$1-$C39,0),IF(AND('Input data (2)'!$C$2=2,$B39&gt;=0),OFFSET('Input data (2)'!BA$126,'Input data (2)'!$BL$1-$B39,0),IF(AND('Input data (2)'!$C$2=1,$A39&gt;=0),OFFSET('Input data (2)'!BA$126,'Input data (2)'!$BL$1-$A39,0),""))))</f>
        <v>2049</v>
      </c>
      <c r="BF58" s="1">
        <f ca="1">IF(AND('Input data (2)'!$C$2=4,$D39&gt;=0),OFFSET('Input data (2)'!AP$126,'Input data (2)'!$BL$1-$D39,0),IF(AND('Input data (2)'!$C$2=3,$C39&gt;=0),OFFSET('Input data (2)'!AP$126,'Input data (2)'!$BL$1-$C39,0),IF(AND('Input data (2)'!$C$2=2,$B39&gt;=0),OFFSET('Input data (2)'!AP$126,'Input data (2)'!$BL$1-$B39,0),IF(AND('Input data (2)'!$C$2=1,$A39&gt;=0),OFFSET('Input data (2)'!AP$126,'Input data (2)'!$BL$1-$A39,0),""))))</f>
        <v>290</v>
      </c>
      <c r="BG58" s="1">
        <f ca="1">IF(AND('Input data (2)'!$C$2=4,$D39&gt;=0),OFFSET('Input data (2)'!AN$126,'Input data (2)'!$BL$1-$D39,0),IF(AND('Input data (2)'!$C$2=3,$C39&gt;=0),OFFSET('Input data (2)'!AN$126,'Input data (2)'!$BL$1-$C39,0),IF(AND('Input data (2)'!$C$2=2,$B39&gt;=0),OFFSET('Input data (2)'!AN$126,'Input data (2)'!$BL$1-$B39,0),IF(AND('Input data (2)'!$C$2=1,$A39&gt;=0),OFFSET('Input data (2)'!AN$126,'Input data (2)'!$BL$1-$A39,0),""))))</f>
        <v>213</v>
      </c>
      <c r="BH58" s="1">
        <f ca="1">IF(AND('Input data (2)'!$C$2=4,$D39&gt;=0),OFFSET('Input data (2)'!AO$126,'Input data (2)'!$BL$1-$D39,0),IF(AND('Input data (2)'!$C$2=3,$C39&gt;=0),OFFSET('Input data (2)'!AO$126,'Input data (2)'!$BL$1-$C39,0),IF(AND('Input data (2)'!$C$2=2,$B39&gt;=0),OFFSET('Input data (2)'!AO$126,'Input data (2)'!$BL$1-$B39,0),IF(AND('Input data (2)'!$C$2=1,$A39&gt;=0),OFFSET('Input data (2)'!AO$126,'Input data (2)'!$BL$1-$A39,0),""))))</f>
        <v>77</v>
      </c>
      <c r="BJ58" s="1">
        <f ca="1">IF(AND('Input data (2)'!$C$2=4,$D39&gt;=0),OFFSET('Input data (2)'!AU$126,'Input data (2)'!$BL$1-$D39,0),IF(AND('Input data (2)'!$C$2=3,$C39&gt;=0),OFFSET('Input data (2)'!AU$126,'Input data (2)'!$BL$1-$C39,0),IF(AND('Input data (2)'!$C$2=2,$B39&gt;=0),OFFSET('Input data (2)'!AU$126,'Input data (2)'!$BL$1-$B39,0),IF(AND('Input data (2)'!$C$2=1,$A39&gt;=0),OFFSET('Input data (2)'!AU$126,'Input data (2)'!$BL$1-$A39,0),""))))</f>
        <v>24</v>
      </c>
      <c r="BK58" s="1">
        <f ca="1">IF(AND('Input data (2)'!$C$2=4,$D39&gt;=0),OFFSET('Input data (2)'!AV$126,'Input data (2)'!$BL$1-$D39,0),IF(AND('Input data (2)'!$C$2=3,$C39&gt;=0),OFFSET('Input data (2)'!AV$126,'Input data (2)'!$BL$1-$C39,0),IF(AND('Input data (2)'!$C$2=2,$B39&gt;=0),OFFSET('Input data (2)'!AV$126,'Input data (2)'!$BL$1-$B39,0),IF(AND('Input data (2)'!$C$2=1,$A39&gt;=0),OFFSET('Input data (2)'!AV$126,'Input data (2)'!$BL$1-$A39,0),""))))</f>
        <v>0</v>
      </c>
      <c r="BL58" s="1">
        <f ca="1">IF(AND('Input data (2)'!$C$2=4,$D39&gt;=0),OFFSET('Input data (2)'!AW$126,'Input data (2)'!$BL$1-$D39,0),IF(AND('Input data (2)'!$C$2=3,$C39&gt;=0),OFFSET('Input data (2)'!AW$126,'Input data (2)'!$BL$1-$C39,0),IF(AND('Input data (2)'!$C$2=2,$B39&gt;=0),OFFSET('Input data (2)'!AW$126,'Input data (2)'!$BL$1-$B39,0),IF(AND('Input data (2)'!$C$2=1,$A39&gt;=0),OFFSET('Input data (2)'!AW$126,'Input data (2)'!$BL$1-$A39,0),""))))</f>
        <v>66</v>
      </c>
      <c r="BM58" s="1">
        <f ca="1">IF(AND('Input data (2)'!$C$2=4,$D39&gt;=0),OFFSET('Input data (2)'!AX$126,'Input data (2)'!$BL$1-$D39,0),IF(AND('Input data (2)'!$C$2=3,$C39&gt;=0),OFFSET('Input data (2)'!AX$126,'Input data (2)'!$BL$1-$C39,0),IF(AND('Input data (2)'!$C$2=2,$B39&gt;=0),OFFSET('Input data (2)'!AX$126,'Input data (2)'!$BL$1-$B39,0),IF(AND('Input data (2)'!$C$2=1,$A39&gt;=0),OFFSET('Input data (2)'!AX$126,'Input data (2)'!$BL$1-$A39,0),""))))</f>
        <v>5</v>
      </c>
      <c r="BO58" s="1">
        <f ca="1">IF(AND('Input data (2)'!$C$2=4,$D39&gt;=0),OFFSET('Input data (2)'!BL$126,'Input data (2)'!$BL$1-$D39,0),IF(AND('Input data (2)'!$C$2=3,$C39&gt;=0),OFFSET('Input data (2)'!BL$126,'Input data (2)'!$BL$1-$C39,0),IF(AND('Input data (2)'!$C$2=2,$B39&gt;=0),OFFSET('Input data (2)'!BL$126,'Input data (2)'!$BL$1-$B39,0),IF(AND('Input data (2)'!$C$2=1,$A39&gt;=0),OFFSET('Input data (2)'!BL$126,'Input data (2)'!$BL$1-$A39,0),""))))</f>
        <v>787</v>
      </c>
      <c r="BP58" s="1">
        <f ca="1">IF(AND('Input data (2)'!$C$2=4,$D39&gt;=0),OFFSET('Input data (2)'!BI$126,'Input data (2)'!$BL$1-$D39,0),IF(AND('Input data (2)'!$C$2=3,$C39&gt;=0),OFFSET('Input data (2)'!BI$126,'Input data (2)'!$BL$1-$C39,0),IF(AND('Input data (2)'!$C$2=2,$B39&gt;=0),OFFSET('Input data (2)'!BI$126,'Input data (2)'!$BL$1-$B39,0),IF(AND('Input data (2)'!$C$2=1,$A39&gt;=0),OFFSET('Input data (2)'!BI$126,'Input data (2)'!$BL$1-$A39,0),""))))</f>
        <v>412</v>
      </c>
      <c r="BQ58" s="1">
        <f ca="1">IF(AND('Input data (2)'!$C$2=4,$D39&gt;=0),OFFSET('Input data (2)'!BK$126,'Input data (2)'!$BL$1-$D39,0),IF(AND('Input data (2)'!$C$2=3,$C39&gt;=0),OFFSET('Input data (2)'!BK$126,'Input data (2)'!$BL$1-$C39,0),IF(AND('Input data (2)'!$C$2=2,$B39&gt;=0),OFFSET('Input data (2)'!BK$126,'Input data (2)'!$BL$1-$B39,0),IF(AND('Input data (2)'!$C$2=1,$A39&gt;=0),OFFSET('Input data (2)'!BK$126,'Input data (2)'!$BL$1-$A39,0),""))))</f>
        <v>78</v>
      </c>
      <c r="BR58" s="1">
        <f ca="1">IF(AND('Input data (2)'!$C$2=4,$D39&gt;=0),OFFSET('Input data (2)'!BJ$126,'Input data (2)'!$BL$1-$D39,0),IF(AND('Input data (2)'!$C$2=3,$C39&gt;=0),OFFSET('Input data (2)'!BJ$126,'Input data (2)'!$BL$1-$C39,0),IF(AND('Input data (2)'!$C$2=2,$B39&gt;=0),OFFSET('Input data (2)'!BJ$126,'Input data (2)'!$BL$1-$B39,0),IF(AND('Input data (2)'!$C$2=1,$A39&gt;=0),OFFSET('Input data (2)'!BJ$126,'Input data (2)'!$BL$1-$A39,0),""))))</f>
        <v>297</v>
      </c>
      <c r="BS58" s="1">
        <f ca="1">IF(AND('Input data (2)'!$C$2=4,$D39&gt;=0),OFFSET('Input data (2)'!BF$126,'Input data (2)'!$BL$1-$D39,0),IF(AND('Input data (2)'!$C$2=3,$C39&gt;=0),OFFSET('Input data (2)'!BF$126,'Input data (2)'!$BL$1-$C39,0),IF(AND('Input data (2)'!$C$2=2,$B39&gt;=0),OFFSET('Input data (2)'!BF$126,'Input data (2)'!$BL$1-$B39,0),IF(AND('Input data (2)'!$C$2=1,$A39&gt;=0),OFFSET('Input data (2)'!BF$126,'Input data (2)'!$BL$1-$A39,0),""))))</f>
        <v>77</v>
      </c>
      <c r="BT58" s="1">
        <f ca="1">IF(AND('Input data (2)'!$C$2=4,$D39&gt;=0),OFFSET('Input data (2)'!BD$126,'Input data (2)'!$BL$1-$D39,0),IF(AND('Input data (2)'!$C$2=3,$C39&gt;=0),OFFSET('Input data (2)'!BD$126,'Input data (2)'!$BL$1-$C39,0),IF(AND('Input data (2)'!$C$2=2,$B39&gt;=0),OFFSET('Input data (2)'!BD$126,'Input data (2)'!$BL$1-$B39,0),IF(AND('Input data (2)'!$C$2=1,$A39&gt;=0),OFFSET('Input data (2)'!BD$126,'Input data (2)'!$BL$1-$A39,0),""))))</f>
        <v>48</v>
      </c>
      <c r="BU58" s="1">
        <f ca="1">IF(AND('Input data (2)'!$C$2=4,$D39&gt;=0),OFFSET('Input data (2)'!BE$126,'Input data (2)'!$BL$1-$D39,0),IF(AND('Input data (2)'!$C$2=3,$C39&gt;=0),OFFSET('Input data (2)'!BE$126,'Input data (2)'!$BL$1-$C39,0),IF(AND('Input data (2)'!$C$2=2,$B39&gt;=0),OFFSET('Input data (2)'!BE$126,'Input data (2)'!$BL$1-$B39,0),IF(AND('Input data (2)'!$C$2=1,$A39&gt;=0),OFFSET('Input data (2)'!BE$126,'Input data (2)'!$BL$1-$A39,0),""))))</f>
        <v>29</v>
      </c>
      <c r="BW58" s="7">
        <f ca="1">IF(AND('Input data (2)'!$C$2=4,$D39&gt;=0),OFFSET('Input data (2)'!J$126,'Input data (2)'!$BL$1-$D39,0),IF(AND('Input data (2)'!$C$2=3,$C39&gt;=0),OFFSET('Input data (2)'!J$126,'Input data (2)'!$BL$1-$C39,0),IF(AND('Input data (2)'!$C$2=2,$B39&gt;=0),OFFSET('Input data (2)'!J$126,'Input data (2)'!$BL$1-$B39,0),IF(AND('Input data (2)'!$C$2=1,$A39&gt;=0),OFFSET('Input data (2)'!J$126,'Input data (2)'!$BL$1-$A39,0),""))))</f>
        <v>0.7747659341702724</v>
      </c>
      <c r="BX58" s="7">
        <f ca="1">IF(AND('Input data (2)'!$C$2=4,$D39&gt;=0),OFFSET('Input data (2)'!K$126,'Input data (2)'!$BL$1-$D39,0),IF(AND('Input data (2)'!$C$2=3,$C39&gt;=0),OFFSET('Input data (2)'!K$126,'Input data (2)'!$BL$1-$C39,0),IF(AND('Input data (2)'!$C$2=2,$B39&gt;=0),OFFSET('Input data (2)'!K$126,'Input data (2)'!$BL$1-$B39,0),IF(AND('Input data (2)'!$C$2=1,$A39&gt;=0),OFFSET('Input data (2)'!K$126,'Input data (2)'!$BL$1-$A39,0),""))))</f>
        <v>0.70861368391914159</v>
      </c>
      <c r="BY58" s="7">
        <f ca="1">IF(AND('Input data (2)'!$C$2=4,$D39&gt;=0),OFFSET('Input data (2)'!AS$126,'Input data (2)'!$BL$1-$D39,0),IF(AND('Input data (2)'!$C$2=3,$C39&gt;=0),OFFSET('Input data (2)'!AS$126,'Input data (2)'!$BL$1-$C39,0),IF(AND('Input data (2)'!$C$2=2,$B39&gt;=0),OFFSET('Input data (2)'!AS$126,'Input data (2)'!$BL$1-$B39,0),IF(AND('Input data (2)'!$C$2=1,$A39&gt;=0),OFFSET('Input data (2)'!AS$126,'Input data (2)'!$BL$1-$A39,0),""))))</f>
        <v>0.91028950934880315</v>
      </c>
      <c r="BZ58" s="7">
        <f ca="1">IF(AND('Input data (2)'!$C$2=4,$D39&gt;=0),OFFSET('Input data (2)'!AT$126,'Input data (2)'!$BL$1-$D39,0),IF(AND('Input data (2)'!$C$2=3,$C39&gt;=0),OFFSET('Input data (2)'!AT$126,'Input data (2)'!$BL$1-$C39,0),IF(AND('Input data (2)'!$C$2=2,$B39&gt;=0),OFFSET('Input data (2)'!AT$126,'Input data (2)'!$BL$1-$B39,0),IF(AND('Input data (2)'!$C$2=1,$A39&gt;=0),OFFSET('Input data (2)'!AT$126,'Input data (2)'!$BL$1-$A39,0),""))))</f>
        <v>0.81173882396302888</v>
      </c>
      <c r="CB58" s="122"/>
      <c r="CC58" s="122"/>
      <c r="CD58" s="122"/>
      <c r="CE58" s="122"/>
    </row>
    <row r="59" spans="5:94" x14ac:dyDescent="0.15">
      <c r="CM59" s="3">
        <f ca="1">CM44/CM43-1</f>
        <v>-6.6058364286317284E-2</v>
      </c>
      <c r="CN59" s="3" t="e">
        <f ca="1">CM43/CO43</f>
        <v>#VALUE!</v>
      </c>
      <c r="CO59" s="3">
        <v>100</v>
      </c>
      <c r="CP59" s="68" t="e">
        <f ca="1">CM59*CN59*CO59</f>
        <v>#VALUE!</v>
      </c>
    </row>
    <row r="60" spans="5:94" x14ac:dyDescent="0.15">
      <c r="E60" s="1" t="str">
        <f>F60&amp;G60</f>
        <v>2012Q1</v>
      </c>
      <c r="F60" s="1">
        <f>F55+1</f>
        <v>2012</v>
      </c>
      <c r="G60" s="1" t="s">
        <v>1</v>
      </c>
      <c r="H60" s="1">
        <f>VLOOKUP($E60,'Input data (2)'!$A:$BL,'Output data - DO NOT TOUCH (2)'!H$71,FALSE)</f>
        <v>4482</v>
      </c>
      <c r="I60" s="1">
        <f>VLOOKUP($E60,'Input data (2)'!$A:$BL,'Output data - DO NOT TOUCH (2)'!I$71,FALSE)</f>
        <v>1233</v>
      </c>
      <c r="J60" s="1">
        <f>VLOOKUP($E60,'Input data (2)'!$A:$BL,'Output data - DO NOT TOUCH (2)'!J$71,FALSE)</f>
        <v>3249</v>
      </c>
      <c r="K60" s="1">
        <f>VLOOKUP($E60,'Input data (2)'!$A:$BL,'Output data - DO NOT TOUCH (2)'!K$71,FALSE)</f>
        <v>4297</v>
      </c>
      <c r="L60" s="1">
        <f>VLOOKUP($E60,'Input data (2)'!$A:$BL,'Output data - DO NOT TOUCH (2)'!L$71,FALSE)</f>
        <v>1204</v>
      </c>
      <c r="M60" s="1">
        <f>VLOOKUP($E60,'Input data (2)'!$A:$BL,'Output data - DO NOT TOUCH (2)'!M$71,FALSE)</f>
        <v>3093</v>
      </c>
      <c r="O60" s="119">
        <f ca="1">IF(AND('Input data (2)'!$C$2=4,$D40&gt;=0),OFFSET('Input data (2)'!O$126,'Input data (2)'!$BL$1-$D40,0),IF(AND('Input data (2)'!$C$2=3,$C40&gt;=0),OFFSET('Input data (2)'!O$126,'Input data (2)'!$BL$1-$C40,0),IF(AND('Input data (2)'!$C$2=2,$B40&gt;=0),OFFSET('Input data (2)'!O$126,'Input data (2)'!$BL$1-$B40,0),IF(AND('Input data (2)'!$C$2=1,$A40&gt;=0),OFFSET('Input data (2)'!O$126,'Input data (2)'!$BL$1-$A40,0),""))))</f>
        <v>247</v>
      </c>
      <c r="Q60" s="1">
        <f ca="1">IF(AND('Input data (2)'!$C$2=4,$D40&gt;=0),OFFSET('Input data (2)'!AC$126,'Input data (2)'!$BL$1-$D40,0),IF(AND('Input data (2)'!$C$2=3,$C40&gt;=0),OFFSET('Input data (2)'!AC$126,'Input data (2)'!$BL$1-$C40,0),IF(AND('Input data (2)'!$C$2=2,$B40&gt;=0),OFFSET('Input data (2)'!AC$126,'Input data (2)'!$BL$1-$B40,0),IF(AND('Input data (2)'!$C$2=1,$A40&gt;=0),OFFSET('Input data (2)'!AC$126,'Input data (2)'!$BL$1-$A40,0),""))))</f>
        <v>28723</v>
      </c>
      <c r="R60" s="1">
        <f ca="1">IF(AND('Input data (2)'!$C$2=4,$D40&gt;=0),OFFSET('Input data (2)'!Q$126,'Input data (2)'!$BL$1-$D40,0),IF(AND('Input data (2)'!$C$2=3,$C40&gt;=0),OFFSET('Input data (2)'!Q$126,'Input data (2)'!$BL$1-$C40,0),IF(AND('Input data (2)'!$C$2=2,$B40&gt;=0),OFFSET('Input data (2)'!Q$126,'Input data (2)'!$BL$1-$B40,0),IF(AND('Input data (2)'!$C$2=1,$A40&gt;=0),OFFSET('Input data (2)'!Q$126,'Input data (2)'!$BL$1-$A40,0),""))))</f>
        <v>9132</v>
      </c>
      <c r="S60" s="1">
        <f ca="1">IF(AND('Input data (2)'!$C$2=4,$D40&gt;=0),OFFSET('Input data (2)'!R$126,'Input data (2)'!$BL$1-$D40,0),IF(AND('Input data (2)'!$C$2=3,$C40&gt;=0),OFFSET('Input data (2)'!R$126,'Input data (2)'!$BL$1-$C40,0),IF(AND('Input data (2)'!$C$2=2,$B40&gt;=0),OFFSET('Input data (2)'!R$126,'Input data (2)'!$BL$1-$B40,0),IF(AND('Input data (2)'!$C$2=1,$A40&gt;=0),OFFSET('Input data (2)'!R$126,'Input data (2)'!$BL$1-$A40,0),""))))</f>
        <v>7897</v>
      </c>
      <c r="T60" s="1">
        <f ca="1">IF(AND('Input data (2)'!$C$2=4,$D40&gt;=0),OFFSET('Input data (2)'!AA$126,'Input data (2)'!$BL$1-$D40,0),IF(AND('Input data (2)'!$C$2=3,$C40&gt;=0),OFFSET('Input data (2)'!AA$126,'Input data (2)'!$BL$1-$C40,0),IF(AND('Input data (2)'!$C$2=2,$B40&gt;=0),OFFSET('Input data (2)'!AA$126,'Input data (2)'!$BL$1-$B40,0),IF(AND('Input data (2)'!$C$2=1,$A40&gt;=0),OFFSET('Input data (2)'!AA$126,'Input data (2)'!$BL$1-$A40,0),""))))</f>
        <v>11694</v>
      </c>
      <c r="U60" s="1" t="str">
        <f ca="1">IF(AND('Input data (2)'!$C$2=4,$D40&gt;=0),OFFSET('Input data (2)'!AL$126,'Input data (2)'!$BL$1-$D40,0),IF(AND('Input data (2)'!$C$2=3,$C40&gt;=0),OFFSET('Input data (2)'!AL$126,'Input data (2)'!$BL$1-$C40,0),IF(AND('Input data (2)'!$C$2=2,$B40&gt;=0),OFFSET('Input data (2)'!AL$126,'Input data (2)'!$BL$1-$B40,0),IF(AND('Input data (2)'!$C$2=1,$A40&gt;=0),OFFSET('Input data (2)'!AL$126,'Input data (2)'!$BL$1-$A40,0),""))))</f>
        <v>:</v>
      </c>
      <c r="V60" s="1">
        <f ca="1">IF(AND('Input data (2)'!$C$2=4,$D40&gt;=0),OFFSET('Input data (2)'!AJ$126,'Input data (2)'!$BL$1-$D40,0),IF(AND('Input data (2)'!$C$2=3,$C40&gt;=0),OFFSET('Input data (2)'!AJ$126,'Input data (2)'!$BL$1-$C40,0),IF(AND('Input data (2)'!$C$2=2,$B40&gt;=0),OFFSET('Input data (2)'!AJ$126,'Input data (2)'!$BL$1-$B40,0),IF(AND('Input data (2)'!$C$2=1,$A40&gt;=0),OFFSET('Input data (2)'!AJ$126,'Input data (2)'!$BL$1-$A40,0),""))))</f>
        <v>8572</v>
      </c>
      <c r="W60" s="1">
        <f ca="1">IF(AND('Input data (2)'!$C$2=4,$D40&gt;=0),OFFSET('Input data (2)'!AK$126,'Input data (2)'!$BL$1-$D40,0),IF(AND('Input data (2)'!$C$2=3,$C40&gt;=0),OFFSET('Input data (2)'!AK$126,'Input data (2)'!$BL$1-$C40,0),IF(AND('Input data (2)'!$C$2=2,$B40&gt;=0),OFFSET('Input data (2)'!AK$126,'Input data (2)'!$BL$1-$B40,0),IF(AND('Input data (2)'!$C$2=1,$A40&gt;=0),OFFSET('Input data (2)'!AK$126,'Input data (2)'!$BL$1-$A40,0),""))))</f>
        <v>12555</v>
      </c>
      <c r="Y60" s="1">
        <f ca="1">IF(AND('Input data (2)'!$C$2=4,$D40&gt;=0),OFFSET('Input data (2)'!Q$126,'Input data (2)'!$BL$1-$D40,0),IF(AND('Input data (2)'!$C$2=3,$C40&gt;=0),OFFSET('Input data (2)'!Q$126,'Input data (2)'!$BL$1-$C40,0),IF(AND('Input data (2)'!$C$2=2,$B40&gt;=0),OFFSET('Input data (2)'!Q$126,'Input data (2)'!$BL$1-$B40,0),IF(AND('Input data (2)'!$C$2=1,$A40&gt;=0),OFFSET('Input data (2)'!Q$126,'Input data (2)'!$BL$1-$A40,0),""))))</f>
        <v>9132</v>
      </c>
      <c r="Z60" s="1">
        <f ca="1">IF(AND('Input data (2)'!$C$2=4,$D40&gt;=0),OFFSET('Input data (2)'!S$126,'Input data (2)'!$BL$1-$D40,0),IF(AND('Input data (2)'!$C$2=3,$C40&gt;=0),OFFSET('Input data (2)'!S$126,'Input data (2)'!$BL$1-$C40,0),IF(AND('Input data (2)'!$C$2=2,$B40&gt;=0),OFFSET('Input data (2)'!S$126,'Input data (2)'!$BL$1-$B40,0),IF(AND('Input data (2)'!$C$2=1,$A40&gt;=0),OFFSET('Input data (2)'!S$126,'Input data (2)'!$BL$1-$A40,0),""))))</f>
        <v>7233</v>
      </c>
      <c r="AA60" s="1">
        <f ca="1">IF(AND('Input data (2)'!$C$2=4,$D40&gt;=0),OFFSET('Input data (2)'!T$126,'Input data (2)'!$BL$1-$D40,0),IF(AND('Input data (2)'!$C$2=3,$C40&gt;=0),OFFSET('Input data (2)'!T$126,'Input data (2)'!$BL$1-$C40,0),IF(AND('Input data (2)'!$C$2=2,$B40&gt;=0),OFFSET('Input data (2)'!T$126,'Input data (2)'!$BL$1-$B40,0),IF(AND('Input data (2)'!$C$2=1,$A40&gt;=0),OFFSET('Input data (2)'!T$126,'Input data (2)'!$BL$1-$A40,0),""))))</f>
        <v>79.204993429697765</v>
      </c>
      <c r="AB60" s="1">
        <f ca="1">IF(AND('Input data (2)'!$C$2=4,$D40&gt;=0),OFFSET('Input data (2)'!U$126,'Input data (2)'!$BL$1-$D40,0),IF(AND('Input data (2)'!$C$2=3,$C40&gt;=0),OFFSET('Input data (2)'!U$126,'Input data (2)'!$BL$1-$C40,0),IF(AND('Input data (2)'!$C$2=2,$B40&gt;=0),OFFSET('Input data (2)'!U$126,'Input data (2)'!$BL$1-$B40,0),IF(AND('Input data (2)'!$C$2=1,$A40&gt;=0),OFFSET('Input data (2)'!U$126,'Input data (2)'!$BL$1-$A40,0),""))))</f>
        <v>1899</v>
      </c>
      <c r="AC60" s="1">
        <f ca="1">IF(AND('Input data (2)'!$C$2=4,$D40&gt;=0),OFFSET('Input data (2)'!V$126,'Input data (2)'!$BL$1-$D40,0),IF(AND('Input data (2)'!$C$2=3,$C40&gt;=0),OFFSET('Input data (2)'!V$126,'Input data (2)'!$BL$1-$C40,0),IF(AND('Input data (2)'!$C$2=2,$B40&gt;=0),OFFSET('Input data (2)'!V$126,'Input data (2)'!$BL$1-$B40,0),IF(AND('Input data (2)'!$C$2=1,$A40&gt;=0),OFFSET('Input data (2)'!V$126,'Input data (2)'!$BL$1-$A40,0),""))))</f>
        <v>20.795006570302235</v>
      </c>
      <c r="AD60" s="1">
        <f ca="1">IF(AND('Input data (2)'!$C$2=4,$D40&gt;=0),OFFSET('Input data (2)'!Q$126,'Input data (2)'!$BL$1-$D40,0),IF(AND('Input data (2)'!$C$2=3,$C40&gt;=0),OFFSET('Input data (2)'!Q$126,'Input data (2)'!$BL$1-$C40,0),IF(AND('Input data (2)'!$C$2=2,$B40&gt;=0),OFFSET('Input data (2)'!Q$126,'Input data (2)'!$BL$1-$B40,0),IF(AND('Input data (2)'!$C$2=1,$A40&gt;=0),OFFSET('Input data (2)'!Q$126,'Input data (2)'!$BL$1-$A40,0),""))))</f>
        <v>9132</v>
      </c>
      <c r="AE60" s="1">
        <f ca="1">IF(AND('Input data (2)'!$C$2=4,$D40&gt;=0),OFFSET('Input data (2)'!W$126,'Input data (2)'!$BL$1-$D40,0),IF(AND('Input data (2)'!$C$2=3,$C40&gt;=0),OFFSET('Input data (2)'!W$126,'Input data (2)'!$BL$1-$C40,0),IF(AND('Input data (2)'!$C$2=2,$B40&gt;=0),OFFSET('Input data (2)'!W$126,'Input data (2)'!$BL$1-$B40,0),IF(AND('Input data (2)'!$C$2=1,$A40&gt;=0),OFFSET('Input data (2)'!W$126,'Input data (2)'!$BL$1-$A40,0),""))))</f>
        <v>2213</v>
      </c>
      <c r="AF60" s="1">
        <f ca="1">IF(AND('Input data (2)'!$C$2=4,$D40&gt;=0),OFFSET('Input data (2)'!X$126,'Input data (2)'!$BL$1-$D40,0),IF(AND('Input data (2)'!$C$2=3,$C40&gt;=0),OFFSET('Input data (2)'!X$126,'Input data (2)'!$BL$1-$C40,0),IF(AND('Input data (2)'!$C$2=2,$B40&gt;=0),OFFSET('Input data (2)'!X$126,'Input data (2)'!$BL$1-$B40,0),IF(AND('Input data (2)'!$C$2=1,$A40&gt;=0),OFFSET('Input data (2)'!X$126,'Input data (2)'!$BL$1-$A40,0),""))))</f>
        <v>24.233464739378011</v>
      </c>
      <c r="AG60" s="1">
        <f ca="1">IF(AND('Input data (2)'!$C$2=4,$D40&gt;=0),OFFSET('Input data (2)'!Y$126,'Input data (2)'!$BL$1-$D40,0),IF(AND('Input data (2)'!$C$2=3,$C40&gt;=0),OFFSET('Input data (2)'!Y$126,'Input data (2)'!$BL$1-$C40,0),IF(AND('Input data (2)'!$C$2=2,$B40&gt;=0),OFFSET('Input data (2)'!Y$126,'Input data (2)'!$BL$1-$B40,0),IF(AND('Input data (2)'!$C$2=1,$A40&gt;=0),OFFSET('Input data (2)'!Y$126,'Input data (2)'!$BL$1-$A40,0),""))))</f>
        <v>6919</v>
      </c>
      <c r="AH60" s="1">
        <f ca="1">IF(AND('Input data (2)'!$C$2=4,$D40&gt;=0),OFFSET('Input data (2)'!Z$126,'Input data (2)'!$BL$1-$D40,0),IF(AND('Input data (2)'!$C$2=3,$C40&gt;=0),OFFSET('Input data (2)'!Z$126,'Input data (2)'!$BL$1-$C40,0),IF(AND('Input data (2)'!$C$2=2,$B40&gt;=0),OFFSET('Input data (2)'!Z$126,'Input data (2)'!$BL$1-$B40,0),IF(AND('Input data (2)'!$C$2=1,$A40&gt;=0),OFFSET('Input data (2)'!Z$126,'Input data (2)'!$BL$1-$A40,0),""))))</f>
        <v>75.766535260621993</v>
      </c>
      <c r="AI60" s="3"/>
      <c r="AJ60" s="124">
        <f ca="1">IF(AND('Input data (2)'!$C$2=4,$D40&gt;=0),OFFSET('Input data (2)'!AF$126,'Input data (2)'!$BL$1-$D40,0),IF(AND('Input data (2)'!$C$2=3,$C40&gt;=0),OFFSET('Input data (2)'!AF$126,'Input data (2)'!$BL$1-$C40,0),IF(AND('Input data (2)'!$C$2=2,$B40&gt;=0),OFFSET('Input data (2)'!AF$126,'Input data (2)'!$BL$1-$B40,0),IF(AND('Input data (2)'!$C$2=1,$A40&gt;=0),OFFSET('Input data (2)'!AF$126,'Input data (2)'!$BL$1-$A40,0),""))))</f>
        <v>0</v>
      </c>
      <c r="AK60" s="124">
        <f ca="1">IF(AND('Input data (2)'!$C$2=4,$D40&gt;=0),OFFSET('Input data (2)'!AD$126,'Input data (2)'!$BL$1-$D40,0),IF(AND('Input data (2)'!$C$2=3,$C40&gt;=0),OFFSET('Input data (2)'!AD$126,'Input data (2)'!$BL$1-$C40,0),IF(AND('Input data (2)'!$C$2=2,$B40&gt;=0),OFFSET('Input data (2)'!AD$126,'Input data (2)'!$BL$1-$B40,0),IF(AND('Input data (2)'!$C$2=1,$A40&gt;=0),OFFSET('Input data (2)'!AD$126,'Input data (2)'!$BL$1-$A40,0),""))))</f>
        <v>0</v>
      </c>
      <c r="AL60" s="124">
        <f ca="1">IF(AND('Input data (2)'!$C$2=4,$D40&gt;=0),OFFSET('Input data (2)'!AE$126,'Input data (2)'!$BL$1-$D40,0),IF(AND('Input data (2)'!$C$2=3,$C40&gt;=0),OFFSET('Input data (2)'!AE$126,'Input data (2)'!$BL$1-$C40,0),IF(AND('Input data (2)'!$C$2=2,$B40&gt;=0),OFFSET('Input data (2)'!AE$126,'Input data (2)'!$BL$1-$B40,0),IF(AND('Input data (2)'!$C$2=1,$A40&gt;=0),OFFSET('Input data (2)'!AE$126,'Input data (2)'!$BL$1-$A40,0),""))))</f>
        <v>0</v>
      </c>
      <c r="AW60" s="1">
        <f ca="1">IF(AND('Input data (2)'!$C$2=4,$D40&gt;=0),OFFSET('Input data (2)'!L$126,'Input data (2)'!$BL$1-$D40,0),IF(AND('Input data (2)'!$C$2=3,$C40&gt;=0),OFFSET('Input data (2)'!L$126,'Input data (2)'!$BL$1-$C40,0),IF(AND('Input data (2)'!$C$2=2,$B40&gt;=0),OFFSET('Input data (2)'!L$126,'Input data (2)'!$BL$1-$B40,0),IF(AND('Input data (2)'!$C$2=1,$A40&gt;=0),OFFSET('Input data (2)'!L$126,'Input data (2)'!$BL$1-$A40,0),""))))</f>
        <v>336</v>
      </c>
      <c r="AX60" s="1">
        <f ca="1">IF(AND('Input data (2)'!$C$2=4,$D40&gt;=0),OFFSET('Input data (2)'!M$126,'Input data (2)'!$BL$1-$D40,0),IF(AND('Input data (2)'!$C$2=3,$C40&gt;=0),OFFSET('Input data (2)'!M$126,'Input data (2)'!$BL$1-$C40,0),IF(AND('Input data (2)'!$C$2=2,$B40&gt;=0),OFFSET('Input data (2)'!M$126,'Input data (2)'!$BL$1-$B40,0),IF(AND('Input data (2)'!$C$2=1,$A40&gt;=0),OFFSET('Input data (2)'!M$126,'Input data (2)'!$BL$1-$A40,0),""))))</f>
        <v>0</v>
      </c>
      <c r="AY60" s="1">
        <f ca="1">IF(AND('Input data (2)'!$C$2=4,$D40&gt;=0),OFFSET('Input data (2)'!N$126,'Input data (2)'!$BL$1-$D40,0),IF(AND('Input data (2)'!$C$2=3,$C40&gt;=0),OFFSET('Input data (2)'!N$126,'Input data (2)'!$BL$1-$C40,0),IF(AND('Input data (2)'!$C$2=2,$B40&gt;=0),OFFSET('Input data (2)'!N$126,'Input data (2)'!$BL$1-$B40,0),IF(AND('Input data (2)'!$C$2=1,$A40&gt;=0),OFFSET('Input data (2)'!N$126,'Input data (2)'!$BL$1-$A40,0),""))))</f>
        <v>779</v>
      </c>
      <c r="AZ60" s="1">
        <f ca="1">IF(AND('Input data (2)'!$C$2=4,$D40&gt;=0),OFFSET('Input data (2)'!P$126,'Input data (2)'!$BL$1-$D40,0),IF(AND('Input data (2)'!$C$2=3,$C40&gt;=0),OFFSET('Input data (2)'!P$126,'Input data (2)'!$BL$1-$C40,0),IF(AND('Input data (2)'!$C$2=2,$B40&gt;=0),OFFSET('Input data (2)'!P$126,'Input data (2)'!$BL$1-$B40,0),IF(AND('Input data (2)'!$C$2=1,$A40&gt;=0),OFFSET('Input data (2)'!P$126,'Input data (2)'!$BL$1-$A40,0),""))))</f>
        <v>175</v>
      </c>
      <c r="BB60" s="1">
        <f ca="1">IF(AND('Input data (2)'!$C$2=4,$D40&gt;=0),OFFSET('Input data (2)'!BB$126,'Input data (2)'!$BL$1-$D40,0),IF(AND('Input data (2)'!$C$2=3,$C40&gt;=0),OFFSET('Input data (2)'!BB$126,'Input data (2)'!$BL$1-$C40,0),IF(AND('Input data (2)'!$C$2=2,$B40&gt;=0),OFFSET('Input data (2)'!BB$126,'Input data (2)'!$BL$1-$B40,0),IF(AND('Input data (2)'!$C$2=1,$A40&gt;=0),OFFSET('Input data (2)'!BB$126,'Input data (2)'!$BL$1-$A40,0),""))))</f>
        <v>4873</v>
      </c>
      <c r="BC60" s="1">
        <f ca="1">IF(AND('Input data (2)'!$C$2=4,$D40&gt;=0),OFFSET('Input data (2)'!AY$126,'Input data (2)'!$BL$1-$D40,0),IF(AND('Input data (2)'!$C$2=3,$C40&gt;=0),OFFSET('Input data (2)'!AY$126,'Input data (2)'!$BL$1-$C40,0),IF(AND('Input data (2)'!$C$2=2,$B40&gt;=0),OFFSET('Input data (2)'!AY$126,'Input data (2)'!$BL$1-$B40,0),IF(AND('Input data (2)'!$C$2=1,$A40&gt;=0),OFFSET('Input data (2)'!AY$126,'Input data (2)'!$BL$1-$A40,0),""))))</f>
        <v>2626</v>
      </c>
      <c r="BD60" s="1">
        <f ca="1">IF(AND('Input data (2)'!$C$2=4,$D40&gt;=0),OFFSET('Input data (2)'!AZ$126,'Input data (2)'!$BL$1-$D40,0),IF(AND('Input data (2)'!$C$2=3,$C40&gt;=0),OFFSET('Input data (2)'!AZ$126,'Input data (2)'!$BL$1-$C40,0),IF(AND('Input data (2)'!$C$2=2,$B40&gt;=0),OFFSET('Input data (2)'!AZ$126,'Input data (2)'!$BL$1-$B40,0),IF(AND('Input data (2)'!$C$2=1,$A40&gt;=0),OFFSET('Input data (2)'!AZ$126,'Input data (2)'!$BL$1-$A40,0),""))))</f>
        <v>1060</v>
      </c>
      <c r="BE60" s="1">
        <f ca="1">IF(AND('Input data (2)'!$C$2=4,$D40&gt;=0),OFFSET('Input data (2)'!BA$126,'Input data (2)'!$BL$1-$D40,0),IF(AND('Input data (2)'!$C$2=3,$C40&gt;=0),OFFSET('Input data (2)'!BA$126,'Input data (2)'!$BL$1-$C40,0),IF(AND('Input data (2)'!$C$2=2,$B40&gt;=0),OFFSET('Input data (2)'!BA$126,'Input data (2)'!$BL$1-$B40,0),IF(AND('Input data (2)'!$C$2=1,$A40&gt;=0),OFFSET('Input data (2)'!BA$126,'Input data (2)'!$BL$1-$A40,0),""))))</f>
        <v>2247</v>
      </c>
      <c r="BF60" s="1">
        <f ca="1">IF(AND('Input data (2)'!$C$2=4,$D40&gt;=0),OFFSET('Input data (2)'!AP$126,'Input data (2)'!$BL$1-$D40,0),IF(AND('Input data (2)'!$C$2=3,$C40&gt;=0),OFFSET('Input data (2)'!AP$126,'Input data (2)'!$BL$1-$C40,0),IF(AND('Input data (2)'!$C$2=2,$B40&gt;=0),OFFSET('Input data (2)'!AP$126,'Input data (2)'!$BL$1-$B40,0),IF(AND('Input data (2)'!$C$2=1,$A40&gt;=0),OFFSET('Input data (2)'!AP$126,'Input data (2)'!$BL$1-$A40,0),""))))</f>
        <v>377</v>
      </c>
      <c r="BG60" s="1">
        <f ca="1">IF(AND('Input data (2)'!$C$2=4,$D40&gt;=0),OFFSET('Input data (2)'!AN$126,'Input data (2)'!$BL$1-$D40,0),IF(AND('Input data (2)'!$C$2=3,$C40&gt;=0),OFFSET('Input data (2)'!AN$126,'Input data (2)'!$BL$1-$C40,0),IF(AND('Input data (2)'!$C$2=2,$B40&gt;=0),OFFSET('Input data (2)'!AN$126,'Input data (2)'!$BL$1-$B40,0),IF(AND('Input data (2)'!$C$2=1,$A40&gt;=0),OFFSET('Input data (2)'!AN$126,'Input data (2)'!$BL$1-$A40,0),""))))</f>
        <v>311</v>
      </c>
      <c r="BH60" s="1">
        <f ca="1">IF(AND('Input data (2)'!$C$2=4,$D40&gt;=0),OFFSET('Input data (2)'!AO$126,'Input data (2)'!$BL$1-$D40,0),IF(AND('Input data (2)'!$C$2=3,$C40&gt;=0),OFFSET('Input data (2)'!AO$126,'Input data (2)'!$BL$1-$C40,0),IF(AND('Input data (2)'!$C$2=2,$B40&gt;=0),OFFSET('Input data (2)'!AO$126,'Input data (2)'!$BL$1-$B40,0),IF(AND('Input data (2)'!$C$2=1,$A40&gt;=0),OFFSET('Input data (2)'!AO$126,'Input data (2)'!$BL$1-$A40,0),""))))</f>
        <v>66</v>
      </c>
      <c r="BJ60" s="1">
        <f ca="1">IF(AND('Input data (2)'!$C$2=4,$D40&gt;=0),OFFSET('Input data (2)'!AU$126,'Input data (2)'!$BL$1-$D40,0),IF(AND('Input data (2)'!$C$2=3,$C40&gt;=0),OFFSET('Input data (2)'!AU$126,'Input data (2)'!$BL$1-$C40,0),IF(AND('Input data (2)'!$C$2=2,$B40&gt;=0),OFFSET('Input data (2)'!AU$126,'Input data (2)'!$BL$1-$B40,0),IF(AND('Input data (2)'!$C$2=1,$A40&gt;=0),OFFSET('Input data (2)'!AU$126,'Input data (2)'!$BL$1-$A40,0),""))))</f>
        <v>6</v>
      </c>
      <c r="BK60" s="1">
        <f ca="1">IF(AND('Input data (2)'!$C$2=4,$D40&gt;=0),OFFSET('Input data (2)'!AV$126,'Input data (2)'!$BL$1-$D40,0),IF(AND('Input data (2)'!$C$2=3,$C40&gt;=0),OFFSET('Input data (2)'!AV$126,'Input data (2)'!$BL$1-$C40,0),IF(AND('Input data (2)'!$C$2=2,$B40&gt;=0),OFFSET('Input data (2)'!AV$126,'Input data (2)'!$BL$1-$B40,0),IF(AND('Input data (2)'!$C$2=1,$A40&gt;=0),OFFSET('Input data (2)'!AV$126,'Input data (2)'!$BL$1-$A40,0),""))))</f>
        <v>0</v>
      </c>
      <c r="BL60" s="1">
        <f ca="1">IF(AND('Input data (2)'!$C$2=4,$D40&gt;=0),OFFSET('Input data (2)'!AW$126,'Input data (2)'!$BL$1-$D40,0),IF(AND('Input data (2)'!$C$2=3,$C40&gt;=0),OFFSET('Input data (2)'!AW$126,'Input data (2)'!$BL$1-$C40,0),IF(AND('Input data (2)'!$C$2=2,$B40&gt;=0),OFFSET('Input data (2)'!AW$126,'Input data (2)'!$BL$1-$B40,0),IF(AND('Input data (2)'!$C$2=1,$A40&gt;=0),OFFSET('Input data (2)'!AW$126,'Input data (2)'!$BL$1-$A40,0),""))))</f>
        <v>49</v>
      </c>
      <c r="BM60" s="1">
        <f ca="1">IF(AND('Input data (2)'!$C$2=4,$D40&gt;=0),OFFSET('Input data (2)'!AX$126,'Input data (2)'!$BL$1-$D40,0),IF(AND('Input data (2)'!$C$2=3,$C40&gt;=0),OFFSET('Input data (2)'!AX$126,'Input data (2)'!$BL$1-$C40,0),IF(AND('Input data (2)'!$C$2=2,$B40&gt;=0),OFFSET('Input data (2)'!AX$126,'Input data (2)'!$BL$1-$B40,0),IF(AND('Input data (2)'!$C$2=1,$A40&gt;=0),OFFSET('Input data (2)'!AX$126,'Input data (2)'!$BL$1-$A40,0),""))))</f>
        <v>1</v>
      </c>
      <c r="BO60" s="1">
        <f ca="1">IF(AND('Input data (2)'!$C$2=4,$D40&gt;=0),OFFSET('Input data (2)'!BL$126,'Input data (2)'!$BL$1-$D40,0),IF(AND('Input data (2)'!$C$2=3,$C40&gt;=0),OFFSET('Input data (2)'!BL$126,'Input data (2)'!$BL$1-$C40,0),IF(AND('Input data (2)'!$C$2=2,$B40&gt;=0),OFFSET('Input data (2)'!BL$126,'Input data (2)'!$BL$1-$B40,0),IF(AND('Input data (2)'!$C$2=1,$A40&gt;=0),OFFSET('Input data (2)'!BL$126,'Input data (2)'!$BL$1-$A40,0),""))))</f>
        <v>794</v>
      </c>
      <c r="BP60" s="1">
        <f ca="1">IF(AND('Input data (2)'!$C$2=4,$D40&gt;=0),OFFSET('Input data (2)'!BI$126,'Input data (2)'!$BL$1-$D40,0),IF(AND('Input data (2)'!$C$2=3,$C40&gt;=0),OFFSET('Input data (2)'!BI$126,'Input data (2)'!$BL$1-$C40,0),IF(AND('Input data (2)'!$C$2=2,$B40&gt;=0),OFFSET('Input data (2)'!BI$126,'Input data (2)'!$BL$1-$B40,0),IF(AND('Input data (2)'!$C$2=1,$A40&gt;=0),OFFSET('Input data (2)'!BI$126,'Input data (2)'!$BL$1-$A40,0),""))))</f>
        <v>405</v>
      </c>
      <c r="BQ60" s="1">
        <f ca="1">IF(AND('Input data (2)'!$C$2=4,$D40&gt;=0),OFFSET('Input data (2)'!BK$126,'Input data (2)'!$BL$1-$D40,0),IF(AND('Input data (2)'!$C$2=3,$C40&gt;=0),OFFSET('Input data (2)'!BK$126,'Input data (2)'!$BL$1-$C40,0),IF(AND('Input data (2)'!$C$2=2,$B40&gt;=0),OFFSET('Input data (2)'!BK$126,'Input data (2)'!$BL$1-$B40,0),IF(AND('Input data (2)'!$C$2=1,$A40&gt;=0),OFFSET('Input data (2)'!BK$126,'Input data (2)'!$BL$1-$A40,0),""))))</f>
        <v>113</v>
      </c>
      <c r="BR60" s="1">
        <f ca="1">IF(AND('Input data (2)'!$C$2=4,$D40&gt;=0),OFFSET('Input data (2)'!BJ$126,'Input data (2)'!$BL$1-$D40,0),IF(AND('Input data (2)'!$C$2=3,$C40&gt;=0),OFFSET('Input data (2)'!BJ$126,'Input data (2)'!$BL$1-$C40,0),IF(AND('Input data (2)'!$C$2=2,$B40&gt;=0),OFFSET('Input data (2)'!BJ$126,'Input data (2)'!$BL$1-$B40,0),IF(AND('Input data (2)'!$C$2=1,$A40&gt;=0),OFFSET('Input data (2)'!BJ$126,'Input data (2)'!$BL$1-$A40,0),""))))</f>
        <v>276</v>
      </c>
      <c r="BS60" s="1">
        <f ca="1">IF(AND('Input data (2)'!$C$2=4,$D40&gt;=0),OFFSET('Input data (2)'!BF$126,'Input data (2)'!$BL$1-$D40,0),IF(AND('Input data (2)'!$C$2=3,$C40&gt;=0),OFFSET('Input data (2)'!BF$126,'Input data (2)'!$BL$1-$C40,0),IF(AND('Input data (2)'!$C$2=2,$B40&gt;=0),OFFSET('Input data (2)'!BF$126,'Input data (2)'!$BL$1-$B40,0),IF(AND('Input data (2)'!$C$2=1,$A40&gt;=0),OFFSET('Input data (2)'!BF$126,'Input data (2)'!$BL$1-$A40,0),""))))</f>
        <v>111</v>
      </c>
      <c r="BT60" s="1">
        <f ca="1">IF(AND('Input data (2)'!$C$2=4,$D40&gt;=0),OFFSET('Input data (2)'!BD$126,'Input data (2)'!$BL$1-$D40,0),IF(AND('Input data (2)'!$C$2=3,$C40&gt;=0),OFFSET('Input data (2)'!BD$126,'Input data (2)'!$BL$1-$C40,0),IF(AND('Input data (2)'!$C$2=2,$B40&gt;=0),OFFSET('Input data (2)'!BD$126,'Input data (2)'!$BL$1-$B40,0),IF(AND('Input data (2)'!$C$2=1,$A40&gt;=0),OFFSET('Input data (2)'!BD$126,'Input data (2)'!$BL$1-$A40,0),""))))</f>
        <v>72</v>
      </c>
      <c r="BU60" s="1">
        <f ca="1">IF(AND('Input data (2)'!$C$2=4,$D40&gt;=0),OFFSET('Input data (2)'!BE$126,'Input data (2)'!$BL$1-$D40,0),IF(AND('Input data (2)'!$C$2=3,$C40&gt;=0),OFFSET('Input data (2)'!BE$126,'Input data (2)'!$BL$1-$C40,0),IF(AND('Input data (2)'!$C$2=2,$B40&gt;=0),OFFSET('Input data (2)'!BE$126,'Input data (2)'!$BL$1-$B40,0),IF(AND('Input data (2)'!$C$2=1,$A40&gt;=0),OFFSET('Input data (2)'!BE$126,'Input data (2)'!$BL$1-$A40,0),""))))</f>
        <v>39</v>
      </c>
      <c r="BW60" s="7">
        <f ca="1">IF(AND('Input data (2)'!$C$2=4,$D40&gt;=0),OFFSET('Input data (2)'!J$126,'Input data (2)'!$BL$1-$D40,0),IF(AND('Input data (2)'!$C$2=3,$C40&gt;=0),OFFSET('Input data (2)'!J$126,'Input data (2)'!$BL$1-$C40,0),IF(AND('Input data (2)'!$C$2=2,$B40&gt;=0),OFFSET('Input data (2)'!J$126,'Input data (2)'!$BL$1-$B40,0),IF(AND('Input data (2)'!$C$2=1,$A40&gt;=0),OFFSET('Input data (2)'!J$126,'Input data (2)'!$BL$1-$A40,0),""))))</f>
        <v>0.76767989252905289</v>
      </c>
      <c r="BX60" s="7">
        <f ca="1">IF(AND('Input data (2)'!$C$2=4,$D40&gt;=0),OFFSET('Input data (2)'!K$126,'Input data (2)'!$BL$1-$D40,0),IF(AND('Input data (2)'!$C$2=3,$C40&gt;=0),OFFSET('Input data (2)'!K$126,'Input data (2)'!$BL$1-$C40,0),IF(AND('Input data (2)'!$C$2=2,$B40&gt;=0),OFFSET('Input data (2)'!K$126,'Input data (2)'!$BL$1-$B40,0),IF(AND('Input data (2)'!$C$2=1,$A40&gt;=0),OFFSET('Input data (2)'!K$126,'Input data (2)'!$BL$1-$A40,0),""))))</f>
        <v>0.70198746284880387</v>
      </c>
      <c r="BY60" s="7">
        <f ca="1">IF(AND('Input data (2)'!$C$2=4,$D40&gt;=0),OFFSET('Input data (2)'!AS$126,'Input data (2)'!$BL$1-$D40,0),IF(AND('Input data (2)'!$C$2=3,$C40&gt;=0),OFFSET('Input data (2)'!AS$126,'Input data (2)'!$BL$1-$C40,0),IF(AND('Input data (2)'!$C$2=2,$B40&gt;=0),OFFSET('Input data (2)'!AS$126,'Input data (2)'!$BL$1-$B40,0),IF(AND('Input data (2)'!$C$2=1,$A40&gt;=0),OFFSET('Input data (2)'!AS$126,'Input data (2)'!$BL$1-$A40,0),""))))</f>
        <v>0.96897642338826007</v>
      </c>
      <c r="BZ60" s="7">
        <f ca="1">IF(AND('Input data (2)'!$C$2=4,$D40&gt;=0),OFFSET('Input data (2)'!AT$126,'Input data (2)'!$BL$1-$D40,0),IF(AND('Input data (2)'!$C$2=3,$C40&gt;=0),OFFSET('Input data (2)'!AT$126,'Input data (2)'!$BL$1-$C40,0),IF(AND('Input data (2)'!$C$2=2,$B40&gt;=0),OFFSET('Input data (2)'!AT$126,'Input data (2)'!$BL$1-$B40,0),IF(AND('Input data (2)'!$C$2=1,$A40&gt;=0),OFFSET('Input data (2)'!AT$126,'Input data (2)'!$BL$1-$A40,0),""))))</f>
        <v>0.86580320541748534</v>
      </c>
      <c r="CB60" s="122"/>
      <c r="CC60" s="122"/>
      <c r="CD60" s="122"/>
      <c r="CE60" s="122"/>
    </row>
    <row r="61" spans="5:94" x14ac:dyDescent="0.15">
      <c r="E61" s="1" t="str">
        <f>F61&amp;G61</f>
        <v>2012Q2</v>
      </c>
      <c r="F61" s="1">
        <f>F56+1</f>
        <v>2012</v>
      </c>
      <c r="G61" s="1" t="s">
        <v>2</v>
      </c>
      <c r="H61" s="1">
        <f>VLOOKUP($E61,'Input data (2)'!$A:$BL,'Output data - DO NOT TOUCH (2)'!H$71,FALSE)</f>
        <v>4110</v>
      </c>
      <c r="I61" s="1">
        <f>VLOOKUP($E61,'Input data (2)'!$A:$BL,'Output data - DO NOT TOUCH (2)'!I$71,FALSE)</f>
        <v>1031</v>
      </c>
      <c r="J61" s="1">
        <f>VLOOKUP($E61,'Input data (2)'!$A:$BL,'Output data - DO NOT TOUCH (2)'!J$71,FALSE)</f>
        <v>3079</v>
      </c>
      <c r="K61" s="1">
        <f>VLOOKUP($E61,'Input data (2)'!$A:$BL,'Output data - DO NOT TOUCH (2)'!K$71,FALSE)</f>
        <v>4064</v>
      </c>
      <c r="L61" s="1">
        <f>VLOOKUP($E61,'Input data (2)'!$A:$BL,'Output data - DO NOT TOUCH (2)'!L$71,FALSE)</f>
        <v>1028</v>
      </c>
      <c r="M61" s="1">
        <f>VLOOKUP($E61,'Input data (2)'!$A:$BL,'Output data - DO NOT TOUCH (2)'!M$71,FALSE)</f>
        <v>3036</v>
      </c>
      <c r="O61" s="119">
        <f ca="1">IF(AND('Input data (2)'!$C$2=4,$D41&gt;=0),OFFSET('Input data (2)'!O$126,'Input data (2)'!$BL$1-$D41,0),IF(AND('Input data (2)'!$C$2=3,$C41&gt;=0),OFFSET('Input data (2)'!O$126,'Input data (2)'!$BL$1-$C41,0),IF(AND('Input data (2)'!$C$2=2,$B41&gt;=0),OFFSET('Input data (2)'!O$126,'Input data (2)'!$BL$1-$B41,0),IF(AND('Input data (2)'!$C$2=1,$A41&gt;=0),OFFSET('Input data (2)'!O$126,'Input data (2)'!$BL$1-$A41,0),""))))</f>
        <v>234</v>
      </c>
      <c r="Q61" s="1">
        <f ca="1">IF(AND('Input data (2)'!$C$2=4,$D41&gt;=0),OFFSET('Input data (2)'!AC$126,'Input data (2)'!$BL$1-$D41,0),IF(AND('Input data (2)'!$C$2=3,$C41&gt;=0),OFFSET('Input data (2)'!AC$126,'Input data (2)'!$BL$1-$C41,0),IF(AND('Input data (2)'!$C$2=2,$B41&gt;=0),OFFSET('Input data (2)'!AC$126,'Input data (2)'!$BL$1-$B41,0),IF(AND('Input data (2)'!$C$2=1,$A41&gt;=0),OFFSET('Input data (2)'!AC$126,'Input data (2)'!$BL$1-$A41,0),""))))</f>
        <v>27395</v>
      </c>
      <c r="R61" s="1">
        <f ca="1">IF(AND('Input data (2)'!$C$2=4,$D41&gt;=0),OFFSET('Input data (2)'!Q$126,'Input data (2)'!$BL$1-$D41,0),IF(AND('Input data (2)'!$C$2=3,$C41&gt;=0),OFFSET('Input data (2)'!Q$126,'Input data (2)'!$BL$1-$C41,0),IF(AND('Input data (2)'!$C$2=2,$B41&gt;=0),OFFSET('Input data (2)'!Q$126,'Input data (2)'!$BL$1-$B41,0),IF(AND('Input data (2)'!$C$2=1,$A41&gt;=0),OFFSET('Input data (2)'!Q$126,'Input data (2)'!$BL$1-$A41,0),""))))</f>
        <v>8093</v>
      </c>
      <c r="S61" s="1">
        <f ca="1">IF(AND('Input data (2)'!$C$2=4,$D41&gt;=0),OFFSET('Input data (2)'!R$126,'Input data (2)'!$BL$1-$D41,0),IF(AND('Input data (2)'!$C$2=3,$C41&gt;=0),OFFSET('Input data (2)'!R$126,'Input data (2)'!$BL$1-$C41,0),IF(AND('Input data (2)'!$C$2=2,$B41&gt;=0),OFFSET('Input data (2)'!R$126,'Input data (2)'!$BL$1-$B41,0),IF(AND('Input data (2)'!$C$2=1,$A41&gt;=0),OFFSET('Input data (2)'!R$126,'Input data (2)'!$BL$1-$A41,0),""))))</f>
        <v>7956</v>
      </c>
      <c r="T61" s="1">
        <f ca="1">IF(AND('Input data (2)'!$C$2=4,$D41&gt;=0),OFFSET('Input data (2)'!AA$126,'Input data (2)'!$BL$1-$D41,0),IF(AND('Input data (2)'!$C$2=3,$C41&gt;=0),OFFSET('Input data (2)'!AA$126,'Input data (2)'!$BL$1-$C41,0),IF(AND('Input data (2)'!$C$2=2,$B41&gt;=0),OFFSET('Input data (2)'!AA$126,'Input data (2)'!$BL$1-$B41,0),IF(AND('Input data (2)'!$C$2=1,$A41&gt;=0),OFFSET('Input data (2)'!AA$126,'Input data (2)'!$BL$1-$A41,0),""))))</f>
        <v>11346</v>
      </c>
      <c r="U61" s="1" t="str">
        <f ca="1">IF(AND('Input data (2)'!$C$2=4,$D41&gt;=0),OFFSET('Input data (2)'!AL$126,'Input data (2)'!$BL$1-$D41,0),IF(AND('Input data (2)'!$C$2=3,$C41&gt;=0),OFFSET('Input data (2)'!AL$126,'Input data (2)'!$BL$1-$C41,0),IF(AND('Input data (2)'!$C$2=2,$B41&gt;=0),OFFSET('Input data (2)'!AL$126,'Input data (2)'!$BL$1-$B41,0),IF(AND('Input data (2)'!$C$2=1,$A41&gt;=0),OFFSET('Input data (2)'!AL$126,'Input data (2)'!$BL$1-$A41,0),""))))</f>
        <v>:</v>
      </c>
      <c r="V61" s="1">
        <f ca="1">IF(AND('Input data (2)'!$C$2=4,$D41&gt;=0),OFFSET('Input data (2)'!AJ$126,'Input data (2)'!$BL$1-$D41,0),IF(AND('Input data (2)'!$C$2=3,$C41&gt;=0),OFFSET('Input data (2)'!AJ$126,'Input data (2)'!$BL$1-$C41,0),IF(AND('Input data (2)'!$C$2=2,$B41&gt;=0),OFFSET('Input data (2)'!AJ$126,'Input data (2)'!$BL$1-$B41,0),IF(AND('Input data (2)'!$C$2=1,$A41&gt;=0),OFFSET('Input data (2)'!AJ$126,'Input data (2)'!$BL$1-$A41,0),""))))</f>
        <v>8195</v>
      </c>
      <c r="W61" s="1">
        <f ca="1">IF(AND('Input data (2)'!$C$2=4,$D41&gt;=0),OFFSET('Input data (2)'!AK$126,'Input data (2)'!$BL$1-$D41,0),IF(AND('Input data (2)'!$C$2=3,$C41&gt;=0),OFFSET('Input data (2)'!AK$126,'Input data (2)'!$BL$1-$C41,0),IF(AND('Input data (2)'!$C$2=2,$B41&gt;=0),OFFSET('Input data (2)'!AK$126,'Input data (2)'!$BL$1-$B41,0),IF(AND('Input data (2)'!$C$2=1,$A41&gt;=0),OFFSET('Input data (2)'!AK$126,'Input data (2)'!$BL$1-$A41,0),""))))</f>
        <v>11210</v>
      </c>
      <c r="Y61" s="1">
        <f ca="1">IF(AND('Input data (2)'!$C$2=4,$D41&gt;=0),OFFSET('Input data (2)'!Q$126,'Input data (2)'!$BL$1-$D41,0),IF(AND('Input data (2)'!$C$2=3,$C41&gt;=0),OFFSET('Input data (2)'!Q$126,'Input data (2)'!$BL$1-$C41,0),IF(AND('Input data (2)'!$C$2=2,$B41&gt;=0),OFFSET('Input data (2)'!Q$126,'Input data (2)'!$BL$1-$B41,0),IF(AND('Input data (2)'!$C$2=1,$A41&gt;=0),OFFSET('Input data (2)'!Q$126,'Input data (2)'!$BL$1-$A41,0),""))))</f>
        <v>8093</v>
      </c>
      <c r="Z61" s="1">
        <f ca="1">IF(AND('Input data (2)'!$C$2=4,$D41&gt;=0),OFFSET('Input data (2)'!S$126,'Input data (2)'!$BL$1-$D41,0),IF(AND('Input data (2)'!$C$2=3,$C41&gt;=0),OFFSET('Input data (2)'!S$126,'Input data (2)'!$BL$1-$C41,0),IF(AND('Input data (2)'!$C$2=2,$B41&gt;=0),OFFSET('Input data (2)'!S$126,'Input data (2)'!$BL$1-$B41,0),IF(AND('Input data (2)'!$C$2=1,$A41&gt;=0),OFFSET('Input data (2)'!S$126,'Input data (2)'!$BL$1-$A41,0),""))))</f>
        <v>6426</v>
      </c>
      <c r="AA61" s="1">
        <f ca="1">IF(AND('Input data (2)'!$C$2=4,$D41&gt;=0),OFFSET('Input data (2)'!T$126,'Input data (2)'!$BL$1-$D41,0),IF(AND('Input data (2)'!$C$2=3,$C41&gt;=0),OFFSET('Input data (2)'!T$126,'Input data (2)'!$BL$1-$C41,0),IF(AND('Input data (2)'!$C$2=2,$B41&gt;=0),OFFSET('Input data (2)'!T$126,'Input data (2)'!$BL$1-$B41,0),IF(AND('Input data (2)'!$C$2=1,$A41&gt;=0),OFFSET('Input data (2)'!T$126,'Input data (2)'!$BL$1-$A41,0),""))))</f>
        <v>79.40195230446065</v>
      </c>
      <c r="AB61" s="1">
        <f ca="1">IF(AND('Input data (2)'!$C$2=4,$D41&gt;=0),OFFSET('Input data (2)'!U$126,'Input data (2)'!$BL$1-$D41,0),IF(AND('Input data (2)'!$C$2=3,$C41&gt;=0),OFFSET('Input data (2)'!U$126,'Input data (2)'!$BL$1-$C41,0),IF(AND('Input data (2)'!$C$2=2,$B41&gt;=0),OFFSET('Input data (2)'!U$126,'Input data (2)'!$BL$1-$B41,0),IF(AND('Input data (2)'!$C$2=1,$A41&gt;=0),OFFSET('Input data (2)'!U$126,'Input data (2)'!$BL$1-$A41,0),""))))</f>
        <v>1667</v>
      </c>
      <c r="AC61" s="1">
        <f ca="1">IF(AND('Input data (2)'!$C$2=4,$D41&gt;=0),OFFSET('Input data (2)'!V$126,'Input data (2)'!$BL$1-$D41,0),IF(AND('Input data (2)'!$C$2=3,$C41&gt;=0),OFFSET('Input data (2)'!V$126,'Input data (2)'!$BL$1-$C41,0),IF(AND('Input data (2)'!$C$2=2,$B41&gt;=0),OFFSET('Input data (2)'!V$126,'Input data (2)'!$BL$1-$B41,0),IF(AND('Input data (2)'!$C$2=1,$A41&gt;=0),OFFSET('Input data (2)'!V$126,'Input data (2)'!$BL$1-$A41,0),""))))</f>
        <v>20.598047695539353</v>
      </c>
      <c r="AD61" s="1">
        <f ca="1">IF(AND('Input data (2)'!$C$2=4,$D41&gt;=0),OFFSET('Input data (2)'!Q$126,'Input data (2)'!$BL$1-$D41,0),IF(AND('Input data (2)'!$C$2=3,$C41&gt;=0),OFFSET('Input data (2)'!Q$126,'Input data (2)'!$BL$1-$C41,0),IF(AND('Input data (2)'!$C$2=2,$B41&gt;=0),OFFSET('Input data (2)'!Q$126,'Input data (2)'!$BL$1-$B41,0),IF(AND('Input data (2)'!$C$2=1,$A41&gt;=0),OFFSET('Input data (2)'!Q$126,'Input data (2)'!$BL$1-$A41,0),""))))</f>
        <v>8093</v>
      </c>
      <c r="AE61" s="1">
        <f ca="1">IF(AND('Input data (2)'!$C$2=4,$D41&gt;=0),OFFSET('Input data (2)'!W$126,'Input data (2)'!$BL$1-$D41,0),IF(AND('Input data (2)'!$C$2=3,$C41&gt;=0),OFFSET('Input data (2)'!W$126,'Input data (2)'!$BL$1-$C41,0),IF(AND('Input data (2)'!$C$2=2,$B41&gt;=0),OFFSET('Input data (2)'!W$126,'Input data (2)'!$BL$1-$B41,0),IF(AND('Input data (2)'!$C$2=1,$A41&gt;=0),OFFSET('Input data (2)'!W$126,'Input data (2)'!$BL$1-$A41,0),""))))</f>
        <v>1973</v>
      </c>
      <c r="AF61" s="1">
        <f ca="1">IF(AND('Input data (2)'!$C$2=4,$D41&gt;=0),OFFSET('Input data (2)'!X$126,'Input data (2)'!$BL$1-$D41,0),IF(AND('Input data (2)'!$C$2=3,$C41&gt;=0),OFFSET('Input data (2)'!X$126,'Input data (2)'!$BL$1-$C41,0),IF(AND('Input data (2)'!$C$2=2,$B41&gt;=0),OFFSET('Input data (2)'!X$126,'Input data (2)'!$BL$1-$B41,0),IF(AND('Input data (2)'!$C$2=1,$A41&gt;=0),OFFSET('Input data (2)'!X$126,'Input data (2)'!$BL$1-$A41,0),""))))</f>
        <v>24.379093043370816</v>
      </c>
      <c r="AG61" s="1">
        <f ca="1">IF(AND('Input data (2)'!$C$2=4,$D41&gt;=0),OFFSET('Input data (2)'!Y$126,'Input data (2)'!$BL$1-$D41,0),IF(AND('Input data (2)'!$C$2=3,$C41&gt;=0),OFFSET('Input data (2)'!Y$126,'Input data (2)'!$BL$1-$C41,0),IF(AND('Input data (2)'!$C$2=2,$B41&gt;=0),OFFSET('Input data (2)'!Y$126,'Input data (2)'!$BL$1-$B41,0),IF(AND('Input data (2)'!$C$2=1,$A41&gt;=0),OFFSET('Input data (2)'!Y$126,'Input data (2)'!$BL$1-$A41,0),""))))</f>
        <v>6120</v>
      </c>
      <c r="AH61" s="1">
        <f ca="1">IF(AND('Input data (2)'!$C$2=4,$D41&gt;=0),OFFSET('Input data (2)'!Z$126,'Input data (2)'!$BL$1-$D41,0),IF(AND('Input data (2)'!$C$2=3,$C41&gt;=0),OFFSET('Input data (2)'!Z$126,'Input data (2)'!$BL$1-$C41,0),IF(AND('Input data (2)'!$C$2=2,$B41&gt;=0),OFFSET('Input data (2)'!Z$126,'Input data (2)'!$BL$1-$B41,0),IF(AND('Input data (2)'!$C$2=1,$A41&gt;=0),OFFSET('Input data (2)'!Z$126,'Input data (2)'!$BL$1-$A41,0),""))))</f>
        <v>75.620906956629184</v>
      </c>
      <c r="AI61" s="3"/>
      <c r="AJ61" s="124">
        <f ca="1">IF(AND('Input data (2)'!$C$2=4,$D41&gt;=0),OFFSET('Input data (2)'!AF$126,'Input data (2)'!$BL$1-$D41,0),IF(AND('Input data (2)'!$C$2=3,$C41&gt;=0),OFFSET('Input data (2)'!AF$126,'Input data (2)'!$BL$1-$C41,0),IF(AND('Input data (2)'!$C$2=2,$B41&gt;=0),OFFSET('Input data (2)'!AF$126,'Input data (2)'!$BL$1-$B41,0),IF(AND('Input data (2)'!$C$2=1,$A41&gt;=0),OFFSET('Input data (2)'!AF$126,'Input data (2)'!$BL$1-$A41,0),""))))</f>
        <v>0</v>
      </c>
      <c r="AK61" s="124">
        <f ca="1">IF(AND('Input data (2)'!$C$2=4,$D41&gt;=0),OFFSET('Input data (2)'!AD$126,'Input data (2)'!$BL$1-$D41,0),IF(AND('Input data (2)'!$C$2=3,$C41&gt;=0),OFFSET('Input data (2)'!AD$126,'Input data (2)'!$BL$1-$C41,0),IF(AND('Input data (2)'!$C$2=2,$B41&gt;=0),OFFSET('Input data (2)'!AD$126,'Input data (2)'!$BL$1-$B41,0),IF(AND('Input data (2)'!$C$2=1,$A41&gt;=0),OFFSET('Input data (2)'!AD$126,'Input data (2)'!$BL$1-$A41,0),""))))</f>
        <v>0</v>
      </c>
      <c r="AL61" s="124">
        <f ca="1">IF(AND('Input data (2)'!$C$2=4,$D41&gt;=0),OFFSET('Input data (2)'!AE$126,'Input data (2)'!$BL$1-$D41,0),IF(AND('Input data (2)'!$C$2=3,$C41&gt;=0),OFFSET('Input data (2)'!AE$126,'Input data (2)'!$BL$1-$C41,0),IF(AND('Input data (2)'!$C$2=2,$B41&gt;=0),OFFSET('Input data (2)'!AE$126,'Input data (2)'!$BL$1-$B41,0),IF(AND('Input data (2)'!$C$2=1,$A41&gt;=0),OFFSET('Input data (2)'!AE$126,'Input data (2)'!$BL$1-$A41,0),""))))</f>
        <v>0</v>
      </c>
      <c r="AW61" s="1">
        <f ca="1">IF(AND('Input data (2)'!$C$2=4,$D41&gt;=0),OFFSET('Input data (2)'!L$126,'Input data (2)'!$BL$1-$D41,0),IF(AND('Input data (2)'!$C$2=3,$C41&gt;=0),OFFSET('Input data (2)'!L$126,'Input data (2)'!$BL$1-$C41,0),IF(AND('Input data (2)'!$C$2=2,$B41&gt;=0),OFFSET('Input data (2)'!L$126,'Input data (2)'!$BL$1-$B41,0),IF(AND('Input data (2)'!$C$2=1,$A41&gt;=0),OFFSET('Input data (2)'!L$126,'Input data (2)'!$BL$1-$A41,0),""))))</f>
        <v>333</v>
      </c>
      <c r="AX61" s="1">
        <f ca="1">IF(AND('Input data (2)'!$C$2=4,$D41&gt;=0),OFFSET('Input data (2)'!M$126,'Input data (2)'!$BL$1-$D41,0),IF(AND('Input data (2)'!$C$2=3,$C41&gt;=0),OFFSET('Input data (2)'!M$126,'Input data (2)'!$BL$1-$C41,0),IF(AND('Input data (2)'!$C$2=2,$B41&gt;=0),OFFSET('Input data (2)'!M$126,'Input data (2)'!$BL$1-$B41,0),IF(AND('Input data (2)'!$C$2=1,$A41&gt;=0),OFFSET('Input data (2)'!M$126,'Input data (2)'!$BL$1-$A41,0),""))))</f>
        <v>0</v>
      </c>
      <c r="AY61" s="1">
        <f ca="1">IF(AND('Input data (2)'!$C$2=4,$D41&gt;=0),OFFSET('Input data (2)'!N$126,'Input data (2)'!$BL$1-$D41,0),IF(AND('Input data (2)'!$C$2=3,$C41&gt;=0),OFFSET('Input data (2)'!N$126,'Input data (2)'!$BL$1-$C41,0),IF(AND('Input data (2)'!$C$2=2,$B41&gt;=0),OFFSET('Input data (2)'!N$126,'Input data (2)'!$BL$1-$B41,0),IF(AND('Input data (2)'!$C$2=1,$A41&gt;=0),OFFSET('Input data (2)'!N$126,'Input data (2)'!$BL$1-$A41,0),""))))</f>
        <v>625</v>
      </c>
      <c r="AZ61" s="1">
        <f ca="1">IF(AND('Input data (2)'!$C$2=4,$D41&gt;=0),OFFSET('Input data (2)'!P$126,'Input data (2)'!$BL$1-$D41,0),IF(AND('Input data (2)'!$C$2=3,$C41&gt;=0),OFFSET('Input data (2)'!P$126,'Input data (2)'!$BL$1-$C41,0),IF(AND('Input data (2)'!$C$2=2,$B41&gt;=0),OFFSET('Input data (2)'!P$126,'Input data (2)'!$BL$1-$B41,0),IF(AND('Input data (2)'!$C$2=1,$A41&gt;=0),OFFSET('Input data (2)'!P$126,'Input data (2)'!$BL$1-$A41,0),""))))</f>
        <v>352</v>
      </c>
      <c r="BB61" s="1">
        <f ca="1">IF(AND('Input data (2)'!$C$2=4,$D41&gt;=0),OFFSET('Input data (2)'!BB$126,'Input data (2)'!$BL$1-$D41,0),IF(AND('Input data (2)'!$C$2=3,$C41&gt;=0),OFFSET('Input data (2)'!BB$126,'Input data (2)'!$BL$1-$C41,0),IF(AND('Input data (2)'!$C$2=2,$B41&gt;=0),OFFSET('Input data (2)'!BB$126,'Input data (2)'!$BL$1-$B41,0),IF(AND('Input data (2)'!$C$2=1,$A41&gt;=0),OFFSET('Input data (2)'!BB$126,'Input data (2)'!$BL$1-$A41,0),""))))</f>
        <v>5601</v>
      </c>
      <c r="BC61" s="1">
        <f ca="1">IF(AND('Input data (2)'!$C$2=4,$D41&gt;=0),OFFSET('Input data (2)'!AY$126,'Input data (2)'!$BL$1-$D41,0),IF(AND('Input data (2)'!$C$2=3,$C41&gt;=0),OFFSET('Input data (2)'!AY$126,'Input data (2)'!$BL$1-$C41,0),IF(AND('Input data (2)'!$C$2=2,$B41&gt;=0),OFFSET('Input data (2)'!AY$126,'Input data (2)'!$BL$1-$B41,0),IF(AND('Input data (2)'!$C$2=1,$A41&gt;=0),OFFSET('Input data (2)'!AY$126,'Input data (2)'!$BL$1-$A41,0),""))))</f>
        <v>3310</v>
      </c>
      <c r="BD61" s="1">
        <f ca="1">IF(AND('Input data (2)'!$C$2=4,$D41&gt;=0),OFFSET('Input data (2)'!AZ$126,'Input data (2)'!$BL$1-$D41,0),IF(AND('Input data (2)'!$C$2=3,$C41&gt;=0),OFFSET('Input data (2)'!AZ$126,'Input data (2)'!$BL$1-$C41,0),IF(AND('Input data (2)'!$C$2=2,$B41&gt;=0),OFFSET('Input data (2)'!AZ$126,'Input data (2)'!$BL$1-$B41,0),IF(AND('Input data (2)'!$C$2=1,$A41&gt;=0),OFFSET('Input data (2)'!AZ$126,'Input data (2)'!$BL$1-$A41,0),""))))</f>
        <v>1563</v>
      </c>
      <c r="BE61" s="1">
        <f ca="1">IF(AND('Input data (2)'!$C$2=4,$D41&gt;=0),OFFSET('Input data (2)'!BA$126,'Input data (2)'!$BL$1-$D41,0),IF(AND('Input data (2)'!$C$2=3,$C41&gt;=0),OFFSET('Input data (2)'!BA$126,'Input data (2)'!$BL$1-$C41,0),IF(AND('Input data (2)'!$C$2=2,$B41&gt;=0),OFFSET('Input data (2)'!BA$126,'Input data (2)'!$BL$1-$B41,0),IF(AND('Input data (2)'!$C$2=1,$A41&gt;=0),OFFSET('Input data (2)'!BA$126,'Input data (2)'!$BL$1-$A41,0),""))))</f>
        <v>2291</v>
      </c>
      <c r="BF61" s="1">
        <f ca="1">IF(AND('Input data (2)'!$C$2=4,$D41&gt;=0),OFFSET('Input data (2)'!AP$126,'Input data (2)'!$BL$1-$D41,0),IF(AND('Input data (2)'!$C$2=3,$C41&gt;=0),OFFSET('Input data (2)'!AP$126,'Input data (2)'!$BL$1-$C41,0),IF(AND('Input data (2)'!$C$2=2,$B41&gt;=0),OFFSET('Input data (2)'!AP$126,'Input data (2)'!$BL$1-$B41,0),IF(AND('Input data (2)'!$C$2=1,$A41&gt;=0),OFFSET('Input data (2)'!AP$126,'Input data (2)'!$BL$1-$A41,0),""))))</f>
        <v>371</v>
      </c>
      <c r="BG61" s="1">
        <f ca="1">IF(AND('Input data (2)'!$C$2=4,$D41&gt;=0),OFFSET('Input data (2)'!AN$126,'Input data (2)'!$BL$1-$D41,0),IF(AND('Input data (2)'!$C$2=3,$C41&gt;=0),OFFSET('Input data (2)'!AN$126,'Input data (2)'!$BL$1-$C41,0),IF(AND('Input data (2)'!$C$2=2,$B41&gt;=0),OFFSET('Input data (2)'!AN$126,'Input data (2)'!$BL$1-$B41,0),IF(AND('Input data (2)'!$C$2=1,$A41&gt;=0),OFFSET('Input data (2)'!AN$126,'Input data (2)'!$BL$1-$A41,0),""))))</f>
        <v>313</v>
      </c>
      <c r="BH61" s="1">
        <f ca="1">IF(AND('Input data (2)'!$C$2=4,$D41&gt;=0),OFFSET('Input data (2)'!AO$126,'Input data (2)'!$BL$1-$D41,0),IF(AND('Input data (2)'!$C$2=3,$C41&gt;=0),OFFSET('Input data (2)'!AO$126,'Input data (2)'!$BL$1-$C41,0),IF(AND('Input data (2)'!$C$2=2,$B41&gt;=0),OFFSET('Input data (2)'!AO$126,'Input data (2)'!$BL$1-$B41,0),IF(AND('Input data (2)'!$C$2=1,$A41&gt;=0),OFFSET('Input data (2)'!AO$126,'Input data (2)'!$BL$1-$A41,0),""))))</f>
        <v>58</v>
      </c>
      <c r="BJ61" s="1">
        <f ca="1">IF(AND('Input data (2)'!$C$2=4,$D41&gt;=0),OFFSET('Input data (2)'!AU$126,'Input data (2)'!$BL$1-$D41,0),IF(AND('Input data (2)'!$C$2=3,$C41&gt;=0),OFFSET('Input data (2)'!AU$126,'Input data (2)'!$BL$1-$C41,0),IF(AND('Input data (2)'!$C$2=2,$B41&gt;=0),OFFSET('Input data (2)'!AU$126,'Input data (2)'!$BL$1-$B41,0),IF(AND('Input data (2)'!$C$2=1,$A41&gt;=0),OFFSET('Input data (2)'!AU$126,'Input data (2)'!$BL$1-$A41,0),""))))</f>
        <v>12</v>
      </c>
      <c r="BK61" s="1">
        <f ca="1">IF(AND('Input data (2)'!$C$2=4,$D41&gt;=0),OFFSET('Input data (2)'!AV$126,'Input data (2)'!$BL$1-$D41,0),IF(AND('Input data (2)'!$C$2=3,$C41&gt;=0),OFFSET('Input data (2)'!AV$126,'Input data (2)'!$BL$1-$C41,0),IF(AND('Input data (2)'!$C$2=2,$B41&gt;=0),OFFSET('Input data (2)'!AV$126,'Input data (2)'!$BL$1-$B41,0),IF(AND('Input data (2)'!$C$2=1,$A41&gt;=0),OFFSET('Input data (2)'!AV$126,'Input data (2)'!$BL$1-$A41,0),""))))</f>
        <v>0</v>
      </c>
      <c r="BL61" s="1">
        <f ca="1">IF(AND('Input data (2)'!$C$2=4,$D41&gt;=0),OFFSET('Input data (2)'!AW$126,'Input data (2)'!$BL$1-$D41,0),IF(AND('Input data (2)'!$C$2=3,$C41&gt;=0),OFFSET('Input data (2)'!AW$126,'Input data (2)'!$BL$1-$C41,0),IF(AND('Input data (2)'!$C$2=2,$B41&gt;=0),OFFSET('Input data (2)'!AW$126,'Input data (2)'!$BL$1-$B41,0),IF(AND('Input data (2)'!$C$2=1,$A41&gt;=0),OFFSET('Input data (2)'!AW$126,'Input data (2)'!$BL$1-$A41,0),""))))</f>
        <v>67</v>
      </c>
      <c r="BM61" s="1">
        <f ca="1">IF(AND('Input data (2)'!$C$2=4,$D41&gt;=0),OFFSET('Input data (2)'!AX$126,'Input data (2)'!$BL$1-$D41,0),IF(AND('Input data (2)'!$C$2=3,$C41&gt;=0),OFFSET('Input data (2)'!AX$126,'Input data (2)'!$BL$1-$C41,0),IF(AND('Input data (2)'!$C$2=2,$B41&gt;=0),OFFSET('Input data (2)'!AX$126,'Input data (2)'!$BL$1-$B41,0),IF(AND('Input data (2)'!$C$2=1,$A41&gt;=0),OFFSET('Input data (2)'!AX$126,'Input data (2)'!$BL$1-$A41,0),""))))</f>
        <v>18</v>
      </c>
      <c r="BO61" s="1">
        <f ca="1">IF(AND('Input data (2)'!$C$2=4,$D41&gt;=0),OFFSET('Input data (2)'!BL$126,'Input data (2)'!$BL$1-$D41,0),IF(AND('Input data (2)'!$C$2=3,$C41&gt;=0),OFFSET('Input data (2)'!BL$126,'Input data (2)'!$BL$1-$C41,0),IF(AND('Input data (2)'!$C$2=2,$B41&gt;=0),OFFSET('Input data (2)'!BL$126,'Input data (2)'!$BL$1-$B41,0),IF(AND('Input data (2)'!$C$2=1,$A41&gt;=0),OFFSET('Input data (2)'!BL$126,'Input data (2)'!$BL$1-$A41,0),""))))</f>
        <v>795</v>
      </c>
      <c r="BP61" s="1">
        <f ca="1">IF(AND('Input data (2)'!$C$2=4,$D41&gt;=0),OFFSET('Input data (2)'!BI$126,'Input data (2)'!$BL$1-$D41,0),IF(AND('Input data (2)'!$C$2=3,$C41&gt;=0),OFFSET('Input data (2)'!BI$126,'Input data (2)'!$BL$1-$C41,0),IF(AND('Input data (2)'!$C$2=2,$B41&gt;=0),OFFSET('Input data (2)'!BI$126,'Input data (2)'!$BL$1-$B41,0),IF(AND('Input data (2)'!$C$2=1,$A41&gt;=0),OFFSET('Input data (2)'!BI$126,'Input data (2)'!$BL$1-$A41,0),""))))</f>
        <v>381</v>
      </c>
      <c r="BQ61" s="1">
        <f ca="1">IF(AND('Input data (2)'!$C$2=4,$D41&gt;=0),OFFSET('Input data (2)'!BK$126,'Input data (2)'!$BL$1-$D41,0),IF(AND('Input data (2)'!$C$2=3,$C41&gt;=0),OFFSET('Input data (2)'!BK$126,'Input data (2)'!$BL$1-$C41,0),IF(AND('Input data (2)'!$C$2=2,$B41&gt;=0),OFFSET('Input data (2)'!BK$126,'Input data (2)'!$BL$1-$B41,0),IF(AND('Input data (2)'!$C$2=1,$A41&gt;=0),OFFSET('Input data (2)'!BK$126,'Input data (2)'!$BL$1-$A41,0),""))))</f>
        <v>132</v>
      </c>
      <c r="BR61" s="1">
        <f ca="1">IF(AND('Input data (2)'!$C$2=4,$D41&gt;=0),OFFSET('Input data (2)'!BJ$126,'Input data (2)'!$BL$1-$D41,0),IF(AND('Input data (2)'!$C$2=3,$C41&gt;=0),OFFSET('Input data (2)'!BJ$126,'Input data (2)'!$BL$1-$C41,0),IF(AND('Input data (2)'!$C$2=2,$B41&gt;=0),OFFSET('Input data (2)'!BJ$126,'Input data (2)'!$BL$1-$B41,0),IF(AND('Input data (2)'!$C$2=1,$A41&gt;=0),OFFSET('Input data (2)'!BJ$126,'Input data (2)'!$BL$1-$A41,0),""))))</f>
        <v>282</v>
      </c>
      <c r="BS61" s="1">
        <f ca="1">IF(AND('Input data (2)'!$C$2=4,$D41&gt;=0),OFFSET('Input data (2)'!BF$126,'Input data (2)'!$BL$1-$D41,0),IF(AND('Input data (2)'!$C$2=3,$C41&gt;=0),OFFSET('Input data (2)'!BF$126,'Input data (2)'!$BL$1-$C41,0),IF(AND('Input data (2)'!$C$2=2,$B41&gt;=0),OFFSET('Input data (2)'!BF$126,'Input data (2)'!$BL$1-$B41,0),IF(AND('Input data (2)'!$C$2=1,$A41&gt;=0),OFFSET('Input data (2)'!BF$126,'Input data (2)'!$BL$1-$A41,0),""))))</f>
        <v>118</v>
      </c>
      <c r="BT61" s="1">
        <f ca="1">IF(AND('Input data (2)'!$C$2=4,$D41&gt;=0),OFFSET('Input data (2)'!BD$126,'Input data (2)'!$BL$1-$D41,0),IF(AND('Input data (2)'!$C$2=3,$C41&gt;=0),OFFSET('Input data (2)'!BD$126,'Input data (2)'!$BL$1-$C41,0),IF(AND('Input data (2)'!$C$2=2,$B41&gt;=0),OFFSET('Input data (2)'!BD$126,'Input data (2)'!$BL$1-$B41,0),IF(AND('Input data (2)'!$C$2=1,$A41&gt;=0),OFFSET('Input data (2)'!BD$126,'Input data (2)'!$BL$1-$A41,0),""))))</f>
        <v>72</v>
      </c>
      <c r="BU61" s="1">
        <f ca="1">IF(AND('Input data (2)'!$C$2=4,$D41&gt;=0),OFFSET('Input data (2)'!BE$126,'Input data (2)'!$BL$1-$D41,0),IF(AND('Input data (2)'!$C$2=3,$C41&gt;=0),OFFSET('Input data (2)'!BE$126,'Input data (2)'!$BL$1-$C41,0),IF(AND('Input data (2)'!$C$2=2,$B41&gt;=0),OFFSET('Input data (2)'!BE$126,'Input data (2)'!$BL$1-$B41,0),IF(AND('Input data (2)'!$C$2=1,$A41&gt;=0),OFFSET('Input data (2)'!BE$126,'Input data (2)'!$BL$1-$A41,0),""))))</f>
        <v>46</v>
      </c>
      <c r="BW61" s="7">
        <f ca="1">IF(AND('Input data (2)'!$C$2=4,$D41&gt;=0),OFFSET('Input data (2)'!J$126,'Input data (2)'!$BL$1-$D41,0),IF(AND('Input data (2)'!$C$2=3,$C41&gt;=0),OFFSET('Input data (2)'!J$126,'Input data (2)'!$BL$1-$C41,0),IF(AND('Input data (2)'!$C$2=2,$B41&gt;=0),OFFSET('Input data (2)'!J$126,'Input data (2)'!$BL$1-$B41,0),IF(AND('Input data (2)'!$C$2=1,$A41&gt;=0),OFFSET('Input data (2)'!J$126,'Input data (2)'!$BL$1-$A41,0),""))))</f>
        <v>0.74840662605969743</v>
      </c>
      <c r="BX61" s="7">
        <f ca="1">IF(AND('Input data (2)'!$C$2=4,$D41&gt;=0),OFFSET('Input data (2)'!K$126,'Input data (2)'!$BL$1-$D41,0),IF(AND('Input data (2)'!$C$2=3,$C41&gt;=0),OFFSET('Input data (2)'!K$126,'Input data (2)'!$BL$1-$C41,0),IF(AND('Input data (2)'!$C$2=2,$B41&gt;=0),OFFSET('Input data (2)'!K$126,'Input data (2)'!$BL$1-$B41,0),IF(AND('Input data (2)'!$C$2=1,$A41&gt;=0),OFFSET('Input data (2)'!K$126,'Input data (2)'!$BL$1-$A41,0),""))))</f>
        <v>0.68420806655138566</v>
      </c>
      <c r="BY61" s="7">
        <f ca="1">IF(AND('Input data (2)'!$C$2=4,$D41&gt;=0),OFFSET('Input data (2)'!AS$126,'Input data (2)'!$BL$1-$D41,0),IF(AND('Input data (2)'!$C$2=3,$C41&gt;=0),OFFSET('Input data (2)'!AS$126,'Input data (2)'!$BL$1-$C41,0),IF(AND('Input data (2)'!$C$2=2,$B41&gt;=0),OFFSET('Input data (2)'!AS$126,'Input data (2)'!$BL$1-$B41,0),IF(AND('Input data (2)'!$C$2=1,$A41&gt;=0),OFFSET('Input data (2)'!AS$126,'Input data (2)'!$BL$1-$A41,0),""))))</f>
        <v>0.97023620631451357</v>
      </c>
      <c r="BZ61" s="7">
        <f ca="1">IF(AND('Input data (2)'!$C$2=4,$D41&gt;=0),OFFSET('Input data (2)'!AT$126,'Input data (2)'!$BL$1-$D41,0),IF(AND('Input data (2)'!$C$2=3,$C41&gt;=0),OFFSET('Input data (2)'!AT$126,'Input data (2)'!$BL$1-$C41,0),IF(AND('Input data (2)'!$C$2=2,$B41&gt;=0),OFFSET('Input data (2)'!AT$126,'Input data (2)'!$BL$1-$B41,0),IF(AND('Input data (2)'!$C$2=1,$A41&gt;=0),OFFSET('Input data (2)'!AT$126,'Input data (2)'!$BL$1-$A41,0),""))))</f>
        <v>0.87076958590353581</v>
      </c>
      <c r="CB61" s="122"/>
      <c r="CC61" s="122"/>
      <c r="CD61" s="122"/>
      <c r="CE61" s="122"/>
    </row>
    <row r="62" spans="5:94" x14ac:dyDescent="0.15">
      <c r="E62" s="1" t="str">
        <f>F62&amp;G62</f>
        <v>2012Q3</v>
      </c>
      <c r="F62" s="1">
        <f>F57+1</f>
        <v>2012</v>
      </c>
      <c r="G62" s="1" t="s">
        <v>3</v>
      </c>
      <c r="H62" s="1">
        <f>VLOOKUP($E62,'Input data (2)'!$A:$BL,'Output data - DO NOT TOUCH (2)'!H$71,FALSE)</f>
        <v>3870</v>
      </c>
      <c r="I62" s="1">
        <f>VLOOKUP($E62,'Input data (2)'!$A:$BL,'Output data - DO NOT TOUCH (2)'!I$71,FALSE)</f>
        <v>1043</v>
      </c>
      <c r="J62" s="1">
        <f>VLOOKUP($E62,'Input data (2)'!$A:$BL,'Output data - DO NOT TOUCH (2)'!J$71,FALSE)</f>
        <v>2827</v>
      </c>
      <c r="K62" s="1">
        <f>VLOOKUP($E62,'Input data (2)'!$A:$BL,'Output data - DO NOT TOUCH (2)'!K$71,FALSE)</f>
        <v>3954</v>
      </c>
      <c r="L62" s="1">
        <f>VLOOKUP($E62,'Input data (2)'!$A:$BL,'Output data - DO NOT TOUCH (2)'!L$71,FALSE)</f>
        <v>1078</v>
      </c>
      <c r="M62" s="1">
        <f>VLOOKUP($E62,'Input data (2)'!$A:$BL,'Output data - DO NOT TOUCH (2)'!M$71,FALSE)</f>
        <v>2876</v>
      </c>
      <c r="O62" s="119">
        <f ca="1">IF(AND('Input data (2)'!$C$2=4,$D42&gt;=0),OFFSET('Input data (2)'!O$126,'Input data (2)'!$BL$1-$D42,0),IF(AND('Input data (2)'!$C$2=3,$C42&gt;=0),OFFSET('Input data (2)'!O$126,'Input data (2)'!$BL$1-$C42,0),IF(AND('Input data (2)'!$C$2=2,$B42&gt;=0),OFFSET('Input data (2)'!O$126,'Input data (2)'!$BL$1-$B42,0),IF(AND('Input data (2)'!$C$2=1,$A42&gt;=0),OFFSET('Input data (2)'!O$126,'Input data (2)'!$BL$1-$A42,0),""))))</f>
        <v>242</v>
      </c>
      <c r="Q62" s="1">
        <f ca="1">IF(AND('Input data (2)'!$C$2=4,$D42&gt;=0),OFFSET('Input data (2)'!AC$126,'Input data (2)'!$BL$1-$D42,0),IF(AND('Input data (2)'!$C$2=3,$C42&gt;=0),OFFSET('Input data (2)'!AC$126,'Input data (2)'!$BL$1-$C42,0),IF(AND('Input data (2)'!$C$2=2,$B42&gt;=0),OFFSET('Input data (2)'!AC$126,'Input data (2)'!$BL$1-$B42,0),IF(AND('Input data (2)'!$C$2=1,$A42&gt;=0),OFFSET('Input data (2)'!AC$126,'Input data (2)'!$BL$1-$A42,0),""))))</f>
        <v>28087</v>
      </c>
      <c r="R62" s="1">
        <f ca="1">IF(AND('Input data (2)'!$C$2=4,$D42&gt;=0),OFFSET('Input data (2)'!Q$126,'Input data (2)'!$BL$1-$D42,0),IF(AND('Input data (2)'!$C$2=3,$C42&gt;=0),OFFSET('Input data (2)'!Q$126,'Input data (2)'!$BL$1-$C42,0),IF(AND('Input data (2)'!$C$2=2,$B42&gt;=0),OFFSET('Input data (2)'!Q$126,'Input data (2)'!$BL$1-$B42,0),IF(AND('Input data (2)'!$C$2=1,$A42&gt;=0),OFFSET('Input data (2)'!Q$126,'Input data (2)'!$BL$1-$A42,0),""))))</f>
        <v>7642</v>
      </c>
      <c r="S62" s="1">
        <f ca="1">IF(AND('Input data (2)'!$C$2=4,$D42&gt;=0),OFFSET('Input data (2)'!R$126,'Input data (2)'!$BL$1-$D42,0),IF(AND('Input data (2)'!$C$2=3,$C42&gt;=0),OFFSET('Input data (2)'!R$126,'Input data (2)'!$BL$1-$C42,0),IF(AND('Input data (2)'!$C$2=2,$B42&gt;=0),OFFSET('Input data (2)'!R$126,'Input data (2)'!$BL$1-$B42,0),IF(AND('Input data (2)'!$C$2=1,$A42&gt;=0),OFFSET('Input data (2)'!R$126,'Input data (2)'!$BL$1-$A42,0),""))))</f>
        <v>7777</v>
      </c>
      <c r="T62" s="1">
        <f ca="1">IF(AND('Input data (2)'!$C$2=4,$D42&gt;=0),OFFSET('Input data (2)'!AA$126,'Input data (2)'!$BL$1-$D42,0),IF(AND('Input data (2)'!$C$2=3,$C42&gt;=0),OFFSET('Input data (2)'!AA$126,'Input data (2)'!$BL$1-$C42,0),IF(AND('Input data (2)'!$C$2=2,$B42&gt;=0),OFFSET('Input data (2)'!AA$126,'Input data (2)'!$BL$1-$B42,0),IF(AND('Input data (2)'!$C$2=1,$A42&gt;=0),OFFSET('Input data (2)'!AA$126,'Input data (2)'!$BL$1-$A42,0),""))))</f>
        <v>12668</v>
      </c>
      <c r="U62" s="1" t="str">
        <f ca="1">IF(AND('Input data (2)'!$C$2=4,$D42&gt;=0),OFFSET('Input data (2)'!AL$126,'Input data (2)'!$BL$1-$D42,0),IF(AND('Input data (2)'!$C$2=3,$C42&gt;=0),OFFSET('Input data (2)'!AL$126,'Input data (2)'!$BL$1-$C42,0),IF(AND('Input data (2)'!$C$2=2,$B42&gt;=0),OFFSET('Input data (2)'!AL$126,'Input data (2)'!$BL$1-$B42,0),IF(AND('Input data (2)'!$C$2=1,$A42&gt;=0),OFFSET('Input data (2)'!AL$126,'Input data (2)'!$BL$1-$A42,0),""))))</f>
        <v>:</v>
      </c>
      <c r="V62" s="1">
        <f ca="1">IF(AND('Input data (2)'!$C$2=4,$D42&gt;=0),OFFSET('Input data (2)'!AJ$126,'Input data (2)'!$BL$1-$D42,0),IF(AND('Input data (2)'!$C$2=3,$C42&gt;=0),OFFSET('Input data (2)'!AJ$126,'Input data (2)'!$BL$1-$C42,0),IF(AND('Input data (2)'!$C$2=2,$B42&gt;=0),OFFSET('Input data (2)'!AJ$126,'Input data (2)'!$BL$1-$B42,0),IF(AND('Input data (2)'!$C$2=1,$A42&gt;=0),OFFSET('Input data (2)'!AJ$126,'Input data (2)'!$BL$1-$A42,0),""))))</f>
        <v>7714</v>
      </c>
      <c r="W62" s="1">
        <f ca="1">IF(AND('Input data (2)'!$C$2=4,$D42&gt;=0),OFFSET('Input data (2)'!AK$126,'Input data (2)'!$BL$1-$D42,0),IF(AND('Input data (2)'!$C$2=3,$C42&gt;=0),OFFSET('Input data (2)'!AK$126,'Input data (2)'!$BL$1-$C42,0),IF(AND('Input data (2)'!$C$2=2,$B42&gt;=0),OFFSET('Input data (2)'!AK$126,'Input data (2)'!$BL$1-$B42,0),IF(AND('Input data (2)'!$C$2=1,$A42&gt;=0),OFFSET('Input data (2)'!AK$126,'Input data (2)'!$BL$1-$A42,0),""))))</f>
        <v>12131</v>
      </c>
      <c r="Y62" s="1">
        <f ca="1">IF(AND('Input data (2)'!$C$2=4,$D42&gt;=0),OFFSET('Input data (2)'!Q$126,'Input data (2)'!$BL$1-$D42,0),IF(AND('Input data (2)'!$C$2=3,$C42&gt;=0),OFFSET('Input data (2)'!Q$126,'Input data (2)'!$BL$1-$C42,0),IF(AND('Input data (2)'!$C$2=2,$B42&gt;=0),OFFSET('Input data (2)'!Q$126,'Input data (2)'!$BL$1-$B42,0),IF(AND('Input data (2)'!$C$2=1,$A42&gt;=0),OFFSET('Input data (2)'!Q$126,'Input data (2)'!$BL$1-$A42,0),""))))</f>
        <v>7642</v>
      </c>
      <c r="Z62" s="1">
        <f ca="1">IF(AND('Input data (2)'!$C$2=4,$D42&gt;=0),OFFSET('Input data (2)'!S$126,'Input data (2)'!$BL$1-$D42,0),IF(AND('Input data (2)'!$C$2=3,$C42&gt;=0),OFFSET('Input data (2)'!S$126,'Input data (2)'!$BL$1-$C42,0),IF(AND('Input data (2)'!$C$2=2,$B42&gt;=0),OFFSET('Input data (2)'!S$126,'Input data (2)'!$BL$1-$B42,0),IF(AND('Input data (2)'!$C$2=1,$A42&gt;=0),OFFSET('Input data (2)'!S$126,'Input data (2)'!$BL$1-$A42,0),""))))</f>
        <v>6046</v>
      </c>
      <c r="AA62" s="1">
        <f ca="1">IF(AND('Input data (2)'!$C$2=4,$D42&gt;=0),OFFSET('Input data (2)'!T$126,'Input data (2)'!$BL$1-$D42,0),IF(AND('Input data (2)'!$C$2=3,$C42&gt;=0),OFFSET('Input data (2)'!T$126,'Input data (2)'!$BL$1-$C42,0),IF(AND('Input data (2)'!$C$2=2,$B42&gt;=0),OFFSET('Input data (2)'!T$126,'Input data (2)'!$BL$1-$B42,0),IF(AND('Input data (2)'!$C$2=1,$A42&gt;=0),OFFSET('Input data (2)'!T$126,'Input data (2)'!$BL$1-$A42,0),""))))</f>
        <v>79.11541481287621</v>
      </c>
      <c r="AB62" s="1">
        <f ca="1">IF(AND('Input data (2)'!$C$2=4,$D42&gt;=0),OFFSET('Input data (2)'!U$126,'Input data (2)'!$BL$1-$D42,0),IF(AND('Input data (2)'!$C$2=3,$C42&gt;=0),OFFSET('Input data (2)'!U$126,'Input data (2)'!$BL$1-$C42,0),IF(AND('Input data (2)'!$C$2=2,$B42&gt;=0),OFFSET('Input data (2)'!U$126,'Input data (2)'!$BL$1-$B42,0),IF(AND('Input data (2)'!$C$2=1,$A42&gt;=0),OFFSET('Input data (2)'!U$126,'Input data (2)'!$BL$1-$A42,0),""))))</f>
        <v>1596</v>
      </c>
      <c r="AC62" s="1">
        <f ca="1">IF(AND('Input data (2)'!$C$2=4,$D42&gt;=0),OFFSET('Input data (2)'!V$126,'Input data (2)'!$BL$1-$D42,0),IF(AND('Input data (2)'!$C$2=3,$C42&gt;=0),OFFSET('Input data (2)'!V$126,'Input data (2)'!$BL$1-$C42,0),IF(AND('Input data (2)'!$C$2=2,$B42&gt;=0),OFFSET('Input data (2)'!V$126,'Input data (2)'!$BL$1-$B42,0),IF(AND('Input data (2)'!$C$2=1,$A42&gt;=0),OFFSET('Input data (2)'!V$126,'Input data (2)'!$BL$1-$A42,0),""))))</f>
        <v>20.88458518712379</v>
      </c>
      <c r="AD62" s="1">
        <f ca="1">IF(AND('Input data (2)'!$C$2=4,$D42&gt;=0),OFFSET('Input data (2)'!Q$126,'Input data (2)'!$BL$1-$D42,0),IF(AND('Input data (2)'!$C$2=3,$C42&gt;=0),OFFSET('Input data (2)'!Q$126,'Input data (2)'!$BL$1-$C42,0),IF(AND('Input data (2)'!$C$2=2,$B42&gt;=0),OFFSET('Input data (2)'!Q$126,'Input data (2)'!$BL$1-$B42,0),IF(AND('Input data (2)'!$C$2=1,$A42&gt;=0),OFFSET('Input data (2)'!Q$126,'Input data (2)'!$BL$1-$A42,0),""))))</f>
        <v>7642</v>
      </c>
      <c r="AE62" s="1">
        <f ca="1">IF(AND('Input data (2)'!$C$2=4,$D42&gt;=0),OFFSET('Input data (2)'!W$126,'Input data (2)'!$BL$1-$D42,0),IF(AND('Input data (2)'!$C$2=3,$C42&gt;=0),OFFSET('Input data (2)'!W$126,'Input data (2)'!$BL$1-$C42,0),IF(AND('Input data (2)'!$C$2=2,$B42&gt;=0),OFFSET('Input data (2)'!W$126,'Input data (2)'!$BL$1-$B42,0),IF(AND('Input data (2)'!$C$2=1,$A42&gt;=0),OFFSET('Input data (2)'!W$126,'Input data (2)'!$BL$1-$A42,0),""))))</f>
        <v>1827</v>
      </c>
      <c r="AF62" s="1">
        <f ca="1">IF(AND('Input data (2)'!$C$2=4,$D42&gt;=0),OFFSET('Input data (2)'!X$126,'Input data (2)'!$BL$1-$D42,0),IF(AND('Input data (2)'!$C$2=3,$C42&gt;=0),OFFSET('Input data (2)'!X$126,'Input data (2)'!$BL$1-$C42,0),IF(AND('Input data (2)'!$C$2=2,$B42&gt;=0),OFFSET('Input data (2)'!X$126,'Input data (2)'!$BL$1-$B42,0),IF(AND('Input data (2)'!$C$2=1,$A42&gt;=0),OFFSET('Input data (2)'!X$126,'Input data (2)'!$BL$1-$A42,0),""))))</f>
        <v>23.907354095786442</v>
      </c>
      <c r="AG62" s="1">
        <f ca="1">IF(AND('Input data (2)'!$C$2=4,$D42&gt;=0),OFFSET('Input data (2)'!Y$126,'Input data (2)'!$BL$1-$D42,0),IF(AND('Input data (2)'!$C$2=3,$C42&gt;=0),OFFSET('Input data (2)'!Y$126,'Input data (2)'!$BL$1-$C42,0),IF(AND('Input data (2)'!$C$2=2,$B42&gt;=0),OFFSET('Input data (2)'!Y$126,'Input data (2)'!$BL$1-$B42,0),IF(AND('Input data (2)'!$C$2=1,$A42&gt;=0),OFFSET('Input data (2)'!Y$126,'Input data (2)'!$BL$1-$A42,0),""))))</f>
        <v>5815</v>
      </c>
      <c r="AH62" s="1">
        <f ca="1">IF(AND('Input data (2)'!$C$2=4,$D42&gt;=0),OFFSET('Input data (2)'!Z$126,'Input data (2)'!$BL$1-$D42,0),IF(AND('Input data (2)'!$C$2=3,$C42&gt;=0),OFFSET('Input data (2)'!Z$126,'Input data (2)'!$BL$1-$C42,0),IF(AND('Input data (2)'!$C$2=2,$B42&gt;=0),OFFSET('Input data (2)'!Z$126,'Input data (2)'!$BL$1-$B42,0),IF(AND('Input data (2)'!$C$2=1,$A42&gt;=0),OFFSET('Input data (2)'!Z$126,'Input data (2)'!$BL$1-$A42,0),""))))</f>
        <v>76.092645904213555</v>
      </c>
      <c r="AI62" s="3"/>
      <c r="AJ62" s="124">
        <f ca="1">IF(AND('Input data (2)'!$C$2=4,$D42&gt;=0),OFFSET('Input data (2)'!AF$126,'Input data (2)'!$BL$1-$D42,0),IF(AND('Input data (2)'!$C$2=3,$C42&gt;=0),OFFSET('Input data (2)'!AF$126,'Input data (2)'!$BL$1-$C42,0),IF(AND('Input data (2)'!$C$2=2,$B42&gt;=0),OFFSET('Input data (2)'!AF$126,'Input data (2)'!$BL$1-$B42,0),IF(AND('Input data (2)'!$C$2=1,$A42&gt;=0),OFFSET('Input data (2)'!AF$126,'Input data (2)'!$BL$1-$A42,0),""))))</f>
        <v>0</v>
      </c>
      <c r="AK62" s="124">
        <f ca="1">IF(AND('Input data (2)'!$C$2=4,$D42&gt;=0),OFFSET('Input data (2)'!AD$126,'Input data (2)'!$BL$1-$D42,0),IF(AND('Input data (2)'!$C$2=3,$C42&gt;=0),OFFSET('Input data (2)'!AD$126,'Input data (2)'!$BL$1-$C42,0),IF(AND('Input data (2)'!$C$2=2,$B42&gt;=0),OFFSET('Input data (2)'!AD$126,'Input data (2)'!$BL$1-$B42,0),IF(AND('Input data (2)'!$C$2=1,$A42&gt;=0),OFFSET('Input data (2)'!AD$126,'Input data (2)'!$BL$1-$A42,0),""))))</f>
        <v>0</v>
      </c>
      <c r="AL62" s="124">
        <f ca="1">IF(AND('Input data (2)'!$C$2=4,$D42&gt;=0),OFFSET('Input data (2)'!AE$126,'Input data (2)'!$BL$1-$D42,0),IF(AND('Input data (2)'!$C$2=3,$C42&gt;=0),OFFSET('Input data (2)'!AE$126,'Input data (2)'!$BL$1-$C42,0),IF(AND('Input data (2)'!$C$2=2,$B42&gt;=0),OFFSET('Input data (2)'!AE$126,'Input data (2)'!$BL$1-$B42,0),IF(AND('Input data (2)'!$C$2=1,$A42&gt;=0),OFFSET('Input data (2)'!AE$126,'Input data (2)'!$BL$1-$A42,0),""))))</f>
        <v>0</v>
      </c>
      <c r="AW62" s="1">
        <f ca="1">IF(AND('Input data (2)'!$C$2=4,$D42&gt;=0),OFFSET('Input data (2)'!L$126,'Input data (2)'!$BL$1-$D42,0),IF(AND('Input data (2)'!$C$2=3,$C42&gt;=0),OFFSET('Input data (2)'!L$126,'Input data (2)'!$BL$1-$C42,0),IF(AND('Input data (2)'!$C$2=2,$B42&gt;=0),OFFSET('Input data (2)'!L$126,'Input data (2)'!$BL$1-$B42,0),IF(AND('Input data (2)'!$C$2=1,$A42&gt;=0),OFFSET('Input data (2)'!L$126,'Input data (2)'!$BL$1-$A42,0),""))))</f>
        <v>277</v>
      </c>
      <c r="AX62" s="1">
        <f ca="1">IF(AND('Input data (2)'!$C$2=4,$D42&gt;=0),OFFSET('Input data (2)'!M$126,'Input data (2)'!$BL$1-$D42,0),IF(AND('Input data (2)'!$C$2=3,$C42&gt;=0),OFFSET('Input data (2)'!M$126,'Input data (2)'!$BL$1-$C42,0),IF(AND('Input data (2)'!$C$2=2,$B42&gt;=0),OFFSET('Input data (2)'!M$126,'Input data (2)'!$BL$1-$B42,0),IF(AND('Input data (2)'!$C$2=1,$A42&gt;=0),OFFSET('Input data (2)'!M$126,'Input data (2)'!$BL$1-$A42,0),""))))</f>
        <v>0</v>
      </c>
      <c r="AY62" s="1">
        <f ca="1">IF(AND('Input data (2)'!$C$2=4,$D42&gt;=0),OFFSET('Input data (2)'!N$126,'Input data (2)'!$BL$1-$D42,0),IF(AND('Input data (2)'!$C$2=3,$C42&gt;=0),OFFSET('Input data (2)'!N$126,'Input data (2)'!$BL$1-$C42,0),IF(AND('Input data (2)'!$C$2=2,$B42&gt;=0),OFFSET('Input data (2)'!N$126,'Input data (2)'!$BL$1-$B42,0),IF(AND('Input data (2)'!$C$2=1,$A42&gt;=0),OFFSET('Input data (2)'!N$126,'Input data (2)'!$BL$1-$A42,0),""))))</f>
        <v>548</v>
      </c>
      <c r="AZ62" s="1">
        <f ca="1">IF(AND('Input data (2)'!$C$2=4,$D42&gt;=0),OFFSET('Input data (2)'!P$126,'Input data (2)'!$BL$1-$D42,0),IF(AND('Input data (2)'!$C$2=3,$C42&gt;=0),OFFSET('Input data (2)'!P$126,'Input data (2)'!$BL$1-$C42,0),IF(AND('Input data (2)'!$C$2=2,$B42&gt;=0),OFFSET('Input data (2)'!P$126,'Input data (2)'!$BL$1-$B42,0),IF(AND('Input data (2)'!$C$2=1,$A42&gt;=0),OFFSET('Input data (2)'!P$126,'Input data (2)'!$BL$1-$A42,0),""))))</f>
        <v>161</v>
      </c>
      <c r="BB62" s="1">
        <f ca="1">IF(AND('Input data (2)'!$C$2=4,$D42&gt;=0),OFFSET('Input data (2)'!BB$126,'Input data (2)'!$BL$1-$D42,0),IF(AND('Input data (2)'!$C$2=3,$C42&gt;=0),OFFSET('Input data (2)'!BB$126,'Input data (2)'!$BL$1-$C42,0),IF(AND('Input data (2)'!$C$2=2,$B42&gt;=0),OFFSET('Input data (2)'!BB$126,'Input data (2)'!$BL$1-$B42,0),IF(AND('Input data (2)'!$C$2=1,$A42&gt;=0),OFFSET('Input data (2)'!BB$126,'Input data (2)'!$BL$1-$A42,0),""))))</f>
        <v>4065</v>
      </c>
      <c r="BC62" s="1">
        <f ca="1">IF(AND('Input data (2)'!$C$2=4,$D42&gt;=0),OFFSET('Input data (2)'!AY$126,'Input data (2)'!$BL$1-$D42,0),IF(AND('Input data (2)'!$C$2=3,$C42&gt;=0),OFFSET('Input data (2)'!AY$126,'Input data (2)'!$BL$1-$C42,0),IF(AND('Input data (2)'!$C$2=2,$B42&gt;=0),OFFSET('Input data (2)'!AY$126,'Input data (2)'!$BL$1-$B42,0),IF(AND('Input data (2)'!$C$2=1,$A42&gt;=0),OFFSET('Input data (2)'!AY$126,'Input data (2)'!$BL$1-$A42,0),""))))</f>
        <v>1861</v>
      </c>
      <c r="BD62" s="1">
        <f ca="1">IF(AND('Input data (2)'!$C$2=4,$D42&gt;=0),OFFSET('Input data (2)'!AZ$126,'Input data (2)'!$BL$1-$D42,0),IF(AND('Input data (2)'!$C$2=3,$C42&gt;=0),OFFSET('Input data (2)'!AZ$126,'Input data (2)'!$BL$1-$C42,0),IF(AND('Input data (2)'!$C$2=2,$B42&gt;=0),OFFSET('Input data (2)'!AZ$126,'Input data (2)'!$BL$1-$B42,0),IF(AND('Input data (2)'!$C$2=1,$A42&gt;=0),OFFSET('Input data (2)'!AZ$126,'Input data (2)'!$BL$1-$A42,0),""))))</f>
        <v>653</v>
      </c>
      <c r="BE62" s="1">
        <f ca="1">IF(AND('Input data (2)'!$C$2=4,$D42&gt;=0),OFFSET('Input data (2)'!BA$126,'Input data (2)'!$BL$1-$D42,0),IF(AND('Input data (2)'!$C$2=3,$C42&gt;=0),OFFSET('Input data (2)'!BA$126,'Input data (2)'!$BL$1-$C42,0),IF(AND('Input data (2)'!$C$2=2,$B42&gt;=0),OFFSET('Input data (2)'!BA$126,'Input data (2)'!$BL$1-$B42,0),IF(AND('Input data (2)'!$C$2=1,$A42&gt;=0),OFFSET('Input data (2)'!BA$126,'Input data (2)'!$BL$1-$A42,0),""))))</f>
        <v>2204</v>
      </c>
      <c r="BF62" s="1">
        <f ca="1">IF(AND('Input data (2)'!$C$2=4,$D42&gt;=0),OFFSET('Input data (2)'!AP$126,'Input data (2)'!$BL$1-$D42,0),IF(AND('Input data (2)'!$C$2=3,$C42&gt;=0),OFFSET('Input data (2)'!AP$126,'Input data (2)'!$BL$1-$C42,0),IF(AND('Input data (2)'!$C$2=2,$B42&gt;=0),OFFSET('Input data (2)'!AP$126,'Input data (2)'!$BL$1-$B42,0),IF(AND('Input data (2)'!$C$2=1,$A42&gt;=0),OFFSET('Input data (2)'!AP$126,'Input data (2)'!$BL$1-$A42,0),""))))</f>
        <v>282</v>
      </c>
      <c r="BG62" s="1">
        <f ca="1">IF(AND('Input data (2)'!$C$2=4,$D42&gt;=0),OFFSET('Input data (2)'!AN$126,'Input data (2)'!$BL$1-$D42,0),IF(AND('Input data (2)'!$C$2=3,$C42&gt;=0),OFFSET('Input data (2)'!AN$126,'Input data (2)'!$BL$1-$C42,0),IF(AND('Input data (2)'!$C$2=2,$B42&gt;=0),OFFSET('Input data (2)'!AN$126,'Input data (2)'!$BL$1-$B42,0),IF(AND('Input data (2)'!$C$2=1,$A42&gt;=0),OFFSET('Input data (2)'!AN$126,'Input data (2)'!$BL$1-$A42,0),""))))</f>
        <v>204</v>
      </c>
      <c r="BH62" s="1">
        <f ca="1">IF(AND('Input data (2)'!$C$2=4,$D42&gt;=0),OFFSET('Input data (2)'!AO$126,'Input data (2)'!$BL$1-$D42,0),IF(AND('Input data (2)'!$C$2=3,$C42&gt;=0),OFFSET('Input data (2)'!AO$126,'Input data (2)'!$BL$1-$C42,0),IF(AND('Input data (2)'!$C$2=2,$B42&gt;=0),OFFSET('Input data (2)'!AO$126,'Input data (2)'!$BL$1-$B42,0),IF(AND('Input data (2)'!$C$2=1,$A42&gt;=0),OFFSET('Input data (2)'!AO$126,'Input data (2)'!$BL$1-$A42,0),""))))</f>
        <v>78</v>
      </c>
      <c r="BJ62" s="1">
        <f ca="1">IF(AND('Input data (2)'!$C$2=4,$D42&gt;=0),OFFSET('Input data (2)'!AU$126,'Input data (2)'!$BL$1-$D42,0),IF(AND('Input data (2)'!$C$2=3,$C42&gt;=0),OFFSET('Input data (2)'!AU$126,'Input data (2)'!$BL$1-$C42,0),IF(AND('Input data (2)'!$C$2=2,$B42&gt;=0),OFFSET('Input data (2)'!AU$126,'Input data (2)'!$BL$1-$B42,0),IF(AND('Input data (2)'!$C$2=1,$A42&gt;=0),OFFSET('Input data (2)'!AU$126,'Input data (2)'!$BL$1-$A42,0),""))))</f>
        <v>5</v>
      </c>
      <c r="BK62" s="1">
        <f ca="1">IF(AND('Input data (2)'!$C$2=4,$D42&gt;=0),OFFSET('Input data (2)'!AV$126,'Input data (2)'!$BL$1-$D42,0),IF(AND('Input data (2)'!$C$2=3,$C42&gt;=0),OFFSET('Input data (2)'!AV$126,'Input data (2)'!$BL$1-$C42,0),IF(AND('Input data (2)'!$C$2=2,$B42&gt;=0),OFFSET('Input data (2)'!AV$126,'Input data (2)'!$BL$1-$B42,0),IF(AND('Input data (2)'!$C$2=1,$A42&gt;=0),OFFSET('Input data (2)'!AV$126,'Input data (2)'!$BL$1-$A42,0),""))))</f>
        <v>0</v>
      </c>
      <c r="BL62" s="1">
        <f ca="1">IF(AND('Input data (2)'!$C$2=4,$D42&gt;=0),OFFSET('Input data (2)'!AW$126,'Input data (2)'!$BL$1-$D42,0),IF(AND('Input data (2)'!$C$2=3,$C42&gt;=0),OFFSET('Input data (2)'!AW$126,'Input data (2)'!$BL$1-$C42,0),IF(AND('Input data (2)'!$C$2=2,$B42&gt;=0),OFFSET('Input data (2)'!AW$126,'Input data (2)'!$BL$1-$B42,0),IF(AND('Input data (2)'!$C$2=1,$A42&gt;=0),OFFSET('Input data (2)'!AW$126,'Input data (2)'!$BL$1-$A42,0),""))))</f>
        <v>33</v>
      </c>
      <c r="BM62" s="1">
        <f ca="1">IF(AND('Input data (2)'!$C$2=4,$D42&gt;=0),OFFSET('Input data (2)'!AX$126,'Input data (2)'!$BL$1-$D42,0),IF(AND('Input data (2)'!$C$2=3,$C42&gt;=0),OFFSET('Input data (2)'!AX$126,'Input data (2)'!$BL$1-$C42,0),IF(AND('Input data (2)'!$C$2=2,$B42&gt;=0),OFFSET('Input data (2)'!AX$126,'Input data (2)'!$BL$1-$B42,0),IF(AND('Input data (2)'!$C$2=1,$A42&gt;=0),OFFSET('Input data (2)'!AX$126,'Input data (2)'!$BL$1-$A42,0),""))))</f>
        <v>2</v>
      </c>
      <c r="BO62" s="1">
        <f ca="1">IF(AND('Input data (2)'!$C$2=4,$D42&gt;=0),OFFSET('Input data (2)'!BL$126,'Input data (2)'!$BL$1-$D42,0),IF(AND('Input data (2)'!$C$2=3,$C42&gt;=0),OFFSET('Input data (2)'!BL$126,'Input data (2)'!$BL$1-$C42,0),IF(AND('Input data (2)'!$C$2=2,$B42&gt;=0),OFFSET('Input data (2)'!BL$126,'Input data (2)'!$BL$1-$B42,0),IF(AND('Input data (2)'!$C$2=1,$A42&gt;=0),OFFSET('Input data (2)'!BL$126,'Input data (2)'!$BL$1-$A42,0),""))))</f>
        <v>844</v>
      </c>
      <c r="BP62" s="1">
        <f ca="1">IF(AND('Input data (2)'!$C$2=4,$D42&gt;=0),OFFSET('Input data (2)'!BI$126,'Input data (2)'!$BL$1-$D42,0),IF(AND('Input data (2)'!$C$2=3,$C42&gt;=0),OFFSET('Input data (2)'!BI$126,'Input data (2)'!$BL$1-$C42,0),IF(AND('Input data (2)'!$C$2=2,$B42&gt;=0),OFFSET('Input data (2)'!BI$126,'Input data (2)'!$BL$1-$B42,0),IF(AND('Input data (2)'!$C$2=1,$A42&gt;=0),OFFSET('Input data (2)'!BI$126,'Input data (2)'!$BL$1-$A42,0),""))))</f>
        <v>307</v>
      </c>
      <c r="BQ62" s="1">
        <f ca="1">IF(AND('Input data (2)'!$C$2=4,$D42&gt;=0),OFFSET('Input data (2)'!BK$126,'Input data (2)'!$BL$1-$D42,0),IF(AND('Input data (2)'!$C$2=3,$C42&gt;=0),OFFSET('Input data (2)'!BK$126,'Input data (2)'!$BL$1-$C42,0),IF(AND('Input data (2)'!$C$2=2,$B42&gt;=0),OFFSET('Input data (2)'!BK$126,'Input data (2)'!$BL$1-$B42,0),IF(AND('Input data (2)'!$C$2=1,$A42&gt;=0),OFFSET('Input data (2)'!BK$126,'Input data (2)'!$BL$1-$A42,0),""))))</f>
        <v>144</v>
      </c>
      <c r="BR62" s="1">
        <f ca="1">IF(AND('Input data (2)'!$C$2=4,$D42&gt;=0),OFFSET('Input data (2)'!BJ$126,'Input data (2)'!$BL$1-$D42,0),IF(AND('Input data (2)'!$C$2=3,$C42&gt;=0),OFFSET('Input data (2)'!BJ$126,'Input data (2)'!$BL$1-$C42,0),IF(AND('Input data (2)'!$C$2=2,$B42&gt;=0),OFFSET('Input data (2)'!BJ$126,'Input data (2)'!$BL$1-$B42,0),IF(AND('Input data (2)'!$C$2=1,$A42&gt;=0),OFFSET('Input data (2)'!BJ$126,'Input data (2)'!$BL$1-$A42,0),""))))</f>
        <v>393</v>
      </c>
      <c r="BS62" s="1">
        <f ca="1">IF(AND('Input data (2)'!$C$2=4,$D42&gt;=0),OFFSET('Input data (2)'!BF$126,'Input data (2)'!$BL$1-$D42,0),IF(AND('Input data (2)'!$C$2=3,$C42&gt;=0),OFFSET('Input data (2)'!BF$126,'Input data (2)'!$BL$1-$C42,0),IF(AND('Input data (2)'!$C$2=2,$B42&gt;=0),OFFSET('Input data (2)'!BF$126,'Input data (2)'!$BL$1-$B42,0),IF(AND('Input data (2)'!$C$2=1,$A42&gt;=0),OFFSET('Input data (2)'!BF$126,'Input data (2)'!$BL$1-$A42,0),""))))</f>
        <v>95</v>
      </c>
      <c r="BT62" s="1">
        <f ca="1">IF(AND('Input data (2)'!$C$2=4,$D42&gt;=0),OFFSET('Input data (2)'!BD$126,'Input data (2)'!$BL$1-$D42,0),IF(AND('Input data (2)'!$C$2=3,$C42&gt;=0),OFFSET('Input data (2)'!BD$126,'Input data (2)'!$BL$1-$C42,0),IF(AND('Input data (2)'!$C$2=2,$B42&gt;=0),OFFSET('Input data (2)'!BD$126,'Input data (2)'!$BL$1-$B42,0),IF(AND('Input data (2)'!$C$2=1,$A42&gt;=0),OFFSET('Input data (2)'!BD$126,'Input data (2)'!$BL$1-$A42,0),""))))</f>
        <v>60</v>
      </c>
      <c r="BU62" s="1">
        <f ca="1">IF(AND('Input data (2)'!$C$2=4,$D42&gt;=0),OFFSET('Input data (2)'!BE$126,'Input data (2)'!$BL$1-$D42,0),IF(AND('Input data (2)'!$C$2=3,$C42&gt;=0),OFFSET('Input data (2)'!BE$126,'Input data (2)'!$BL$1-$C42,0),IF(AND('Input data (2)'!$C$2=2,$B42&gt;=0),OFFSET('Input data (2)'!BE$126,'Input data (2)'!$BL$1-$B42,0),IF(AND('Input data (2)'!$C$2=1,$A42&gt;=0),OFFSET('Input data (2)'!BE$126,'Input data (2)'!$BL$1-$A42,0),""))))</f>
        <v>35</v>
      </c>
      <c r="BW62" s="7">
        <f ca="1">IF(AND('Input data (2)'!$C$2=4,$D42&gt;=0),OFFSET('Input data (2)'!J$126,'Input data (2)'!$BL$1-$D42,0),IF(AND('Input data (2)'!$C$2=3,$C42&gt;=0),OFFSET('Input data (2)'!J$126,'Input data (2)'!$BL$1-$C42,0),IF(AND('Input data (2)'!$C$2=2,$B42&gt;=0),OFFSET('Input data (2)'!J$126,'Input data (2)'!$BL$1-$B42,0),IF(AND('Input data (2)'!$C$2=1,$A42&gt;=0),OFFSET('Input data (2)'!J$126,'Input data (2)'!$BL$1-$A42,0),""))))</f>
        <v>0.72319138552686579</v>
      </c>
      <c r="BX62" s="7">
        <f ca="1">IF(AND('Input data (2)'!$C$2=4,$D42&gt;=0),OFFSET('Input data (2)'!K$126,'Input data (2)'!$BL$1-$D42,0),IF(AND('Input data (2)'!$C$2=3,$C42&gt;=0),OFFSET('Input data (2)'!K$126,'Input data (2)'!$BL$1-$C42,0),IF(AND('Input data (2)'!$C$2=2,$B42&gt;=0),OFFSET('Input data (2)'!K$126,'Input data (2)'!$BL$1-$B42,0),IF(AND('Input data (2)'!$C$2=1,$A42&gt;=0),OFFSET('Input data (2)'!K$126,'Input data (2)'!$BL$1-$A42,0),""))))</f>
        <v>0.66104033951005792</v>
      </c>
      <c r="BY62" s="7">
        <f ca="1">IF(AND('Input data (2)'!$C$2=4,$D42&gt;=0),OFFSET('Input data (2)'!AS$126,'Input data (2)'!$BL$1-$D42,0),IF(AND('Input data (2)'!$C$2=3,$C42&gt;=0),OFFSET('Input data (2)'!AS$126,'Input data (2)'!$BL$1-$C42,0),IF(AND('Input data (2)'!$C$2=2,$B42&gt;=0),OFFSET('Input data (2)'!AS$126,'Input data (2)'!$BL$1-$B42,0),IF(AND('Input data (2)'!$C$2=1,$A42&gt;=0),OFFSET('Input data (2)'!AS$126,'Input data (2)'!$BL$1-$A42,0),""))))</f>
        <v>0.92834620749475472</v>
      </c>
      <c r="BZ62" s="7">
        <f ca="1">IF(AND('Input data (2)'!$C$2=4,$D42&gt;=0),OFFSET('Input data (2)'!AT$126,'Input data (2)'!$BL$1-$D42,0),IF(AND('Input data (2)'!$C$2=3,$C42&gt;=0),OFFSET('Input data (2)'!AT$126,'Input data (2)'!$BL$1-$C42,0),IF(AND('Input data (2)'!$C$2=2,$B42&gt;=0),OFFSET('Input data (2)'!AT$126,'Input data (2)'!$BL$1-$B42,0),IF(AND('Input data (2)'!$C$2=1,$A42&gt;=0),OFFSET('Input data (2)'!AT$126,'Input data (2)'!$BL$1-$A42,0),""))))</f>
        <v>0.83707657348200615</v>
      </c>
      <c r="CB62" s="122"/>
      <c r="CC62" s="122"/>
      <c r="CD62" s="122"/>
      <c r="CE62" s="122"/>
      <c r="CM62" s="3">
        <f ca="1">(CM44/CM43-1)*100</f>
        <v>-6.6058364286317284</v>
      </c>
      <c r="CN62" s="3">
        <f ca="1">(CN44/CN43-1)*100</f>
        <v>0.3366180921157591</v>
      </c>
      <c r="CO62" s="68" t="e">
        <f ca="1">(CO44/CO43-1)*100</f>
        <v>#VALUE!</v>
      </c>
    </row>
    <row r="63" spans="5:94" x14ac:dyDescent="0.15">
      <c r="E63" s="1" t="str">
        <f>F63&amp;G63</f>
        <v>2012Q4</v>
      </c>
      <c r="F63" s="1">
        <f>F58+1</f>
        <v>2012</v>
      </c>
      <c r="G63" s="1" t="s">
        <v>4</v>
      </c>
      <c r="H63" s="1">
        <f>VLOOKUP($E63,'Input data (2)'!$A:$BL,'Output data - DO NOT TOUCH (2)'!H$71,FALSE)</f>
        <v>3694</v>
      </c>
      <c r="I63" s="1">
        <f>VLOOKUP($E63,'Input data (2)'!$A:$BL,'Output data - DO NOT TOUCH (2)'!I$71,FALSE)</f>
        <v>954</v>
      </c>
      <c r="J63" s="1">
        <f>VLOOKUP($E63,'Input data (2)'!$A:$BL,'Output data - DO NOT TOUCH (2)'!J$71,FALSE)</f>
        <v>2740</v>
      </c>
      <c r="K63" s="1">
        <f>VLOOKUP($E63,'Input data (2)'!$A:$BL,'Output data - DO NOT TOUCH (2)'!K$71,FALSE)</f>
        <v>3823</v>
      </c>
      <c r="L63" s="1">
        <f>VLOOKUP($E63,'Input data (2)'!$A:$BL,'Output data - DO NOT TOUCH (2)'!L$71,FALSE)</f>
        <v>933</v>
      </c>
      <c r="M63" s="1">
        <f>VLOOKUP($E63,'Input data (2)'!$A:$BL,'Output data - DO NOT TOUCH (2)'!M$71,FALSE)</f>
        <v>2890</v>
      </c>
      <c r="O63" s="119">
        <f ca="1">IF(AND('Input data (2)'!$C$2=4,$D43&gt;=0),OFFSET('Input data (2)'!O$126,'Input data (2)'!$BL$1-$D43,0),IF(AND('Input data (2)'!$C$2=3,$C43&gt;=0),OFFSET('Input data (2)'!O$126,'Input data (2)'!$BL$1-$C43,0),IF(AND('Input data (2)'!$C$2=2,$B43&gt;=0),OFFSET('Input data (2)'!O$126,'Input data (2)'!$BL$1-$B43,0),IF(AND('Input data (2)'!$C$2=1,$A43&gt;=0),OFFSET('Input data (2)'!O$126,'Input data (2)'!$BL$1-$A43,0),""))))</f>
        <v>283</v>
      </c>
      <c r="Q63" s="1">
        <f ca="1">IF(AND('Input data (2)'!$C$2=4,$D43&gt;=0),OFFSET('Input data (2)'!AC$126,'Input data (2)'!$BL$1-$D43,0),IF(AND('Input data (2)'!$C$2=3,$C43&gt;=0),OFFSET('Input data (2)'!AC$126,'Input data (2)'!$BL$1-$C43,0),IF(AND('Input data (2)'!$C$2=2,$B43&gt;=0),OFFSET('Input data (2)'!AC$126,'Input data (2)'!$BL$1-$B43,0),IF(AND('Input data (2)'!$C$2=1,$A43&gt;=0),OFFSET('Input data (2)'!AC$126,'Input data (2)'!$BL$1-$A43,0),""))))</f>
        <v>25456</v>
      </c>
      <c r="R63" s="1">
        <f ca="1">IF(AND('Input data (2)'!$C$2=4,$D43&gt;=0),OFFSET('Input data (2)'!Q$126,'Input data (2)'!$BL$1-$D43,0),IF(AND('Input data (2)'!$C$2=3,$C43&gt;=0),OFFSET('Input data (2)'!Q$126,'Input data (2)'!$BL$1-$C43,0),IF(AND('Input data (2)'!$C$2=2,$B43&gt;=0),OFFSET('Input data (2)'!Q$126,'Input data (2)'!$BL$1-$B43,0),IF(AND('Input data (2)'!$C$2=1,$A43&gt;=0),OFFSET('Input data (2)'!Q$126,'Input data (2)'!$BL$1-$A43,0),""))))</f>
        <v>6921</v>
      </c>
      <c r="S63" s="1">
        <f ca="1">IF(AND('Input data (2)'!$C$2=4,$D43&gt;=0),OFFSET('Input data (2)'!R$126,'Input data (2)'!$BL$1-$D43,0),IF(AND('Input data (2)'!$C$2=3,$C43&gt;=0),OFFSET('Input data (2)'!R$126,'Input data (2)'!$BL$1-$C43,0),IF(AND('Input data (2)'!$C$2=2,$B43&gt;=0),OFFSET('Input data (2)'!R$126,'Input data (2)'!$BL$1-$B43,0),IF(AND('Input data (2)'!$C$2=1,$A43&gt;=0),OFFSET('Input data (2)'!R$126,'Input data (2)'!$BL$1-$A43,0),""))))</f>
        <v>7549</v>
      </c>
      <c r="T63" s="1">
        <f ca="1">IF(AND('Input data (2)'!$C$2=4,$D43&gt;=0),OFFSET('Input data (2)'!AA$126,'Input data (2)'!$BL$1-$D43,0),IF(AND('Input data (2)'!$C$2=3,$C43&gt;=0),OFFSET('Input data (2)'!AA$126,'Input data (2)'!$BL$1-$C43,0),IF(AND('Input data (2)'!$C$2=2,$B43&gt;=0),OFFSET('Input data (2)'!AA$126,'Input data (2)'!$BL$1-$B43,0),IF(AND('Input data (2)'!$C$2=1,$A43&gt;=0),OFFSET('Input data (2)'!AA$126,'Input data (2)'!$BL$1-$A43,0),""))))</f>
        <v>10986</v>
      </c>
      <c r="U63" s="1" t="str">
        <f ca="1">IF(AND('Input data (2)'!$C$2=4,$D43&gt;=0),OFFSET('Input data (2)'!AL$126,'Input data (2)'!$BL$1-$D43,0),IF(AND('Input data (2)'!$C$2=3,$C43&gt;=0),OFFSET('Input data (2)'!AL$126,'Input data (2)'!$BL$1-$C43,0),IF(AND('Input data (2)'!$C$2=2,$B43&gt;=0),OFFSET('Input data (2)'!AL$126,'Input data (2)'!$BL$1-$B43,0),IF(AND('Input data (2)'!$C$2=1,$A43&gt;=0),OFFSET('Input data (2)'!AL$126,'Input data (2)'!$BL$1-$A43,0),""))))</f>
        <v>:</v>
      </c>
      <c r="V63" s="1">
        <f ca="1">IF(AND('Input data (2)'!$C$2=4,$D43&gt;=0),OFFSET('Input data (2)'!AJ$126,'Input data (2)'!$BL$1-$D43,0),IF(AND('Input data (2)'!$C$2=3,$C43&gt;=0),OFFSET('Input data (2)'!AJ$126,'Input data (2)'!$BL$1-$C43,0),IF(AND('Input data (2)'!$C$2=2,$B43&gt;=0),OFFSET('Input data (2)'!AJ$126,'Input data (2)'!$BL$1-$B43,0),IF(AND('Input data (2)'!$C$2=1,$A43&gt;=0),OFFSET('Input data (2)'!AJ$126,'Input data (2)'!$BL$1-$A43,0),""))))</f>
        <v>7274</v>
      </c>
      <c r="W63" s="1">
        <f ca="1">IF(AND('Input data (2)'!$C$2=4,$D43&gt;=0),OFFSET('Input data (2)'!AK$126,'Input data (2)'!$BL$1-$D43,0),IF(AND('Input data (2)'!$C$2=3,$C43&gt;=0),OFFSET('Input data (2)'!AK$126,'Input data (2)'!$BL$1-$C43,0),IF(AND('Input data (2)'!$C$2=2,$B43&gt;=0),OFFSET('Input data (2)'!AK$126,'Input data (2)'!$BL$1-$B43,0),IF(AND('Input data (2)'!$C$2=1,$A43&gt;=0),OFFSET('Input data (2)'!AK$126,'Input data (2)'!$BL$1-$A43,0),""))))</f>
        <v>10798</v>
      </c>
      <c r="Y63" s="1">
        <f ca="1">IF(AND('Input data (2)'!$C$2=4,$D43&gt;=0),OFFSET('Input data (2)'!Q$126,'Input data (2)'!$BL$1-$D43,0),IF(AND('Input data (2)'!$C$2=3,$C43&gt;=0),OFFSET('Input data (2)'!Q$126,'Input data (2)'!$BL$1-$C43,0),IF(AND('Input data (2)'!$C$2=2,$B43&gt;=0),OFFSET('Input data (2)'!Q$126,'Input data (2)'!$BL$1-$B43,0),IF(AND('Input data (2)'!$C$2=1,$A43&gt;=0),OFFSET('Input data (2)'!Q$126,'Input data (2)'!$BL$1-$A43,0),""))))</f>
        <v>6921</v>
      </c>
      <c r="Z63" s="1">
        <f ca="1">IF(AND('Input data (2)'!$C$2=4,$D43&gt;=0),OFFSET('Input data (2)'!S$126,'Input data (2)'!$BL$1-$D43,0),IF(AND('Input data (2)'!$C$2=3,$C43&gt;=0),OFFSET('Input data (2)'!S$126,'Input data (2)'!$BL$1-$C43,0),IF(AND('Input data (2)'!$C$2=2,$B43&gt;=0),OFFSET('Input data (2)'!S$126,'Input data (2)'!$BL$1-$B43,0),IF(AND('Input data (2)'!$C$2=1,$A43&gt;=0),OFFSET('Input data (2)'!S$126,'Input data (2)'!$BL$1-$A43,0),""))))</f>
        <v>5487</v>
      </c>
      <c r="AA63" s="1">
        <f ca="1">IF(AND('Input data (2)'!$C$2=4,$D43&gt;=0),OFFSET('Input data (2)'!T$126,'Input data (2)'!$BL$1-$D43,0),IF(AND('Input data (2)'!$C$2=3,$C43&gt;=0),OFFSET('Input data (2)'!T$126,'Input data (2)'!$BL$1-$C43,0),IF(AND('Input data (2)'!$C$2=2,$B43&gt;=0),OFFSET('Input data (2)'!T$126,'Input data (2)'!$BL$1-$B43,0),IF(AND('Input data (2)'!$C$2=1,$A43&gt;=0),OFFSET('Input data (2)'!T$126,'Input data (2)'!$BL$1-$A43,0),""))))</f>
        <v>79.28045080190725</v>
      </c>
      <c r="AB63" s="1">
        <f ca="1">IF(AND('Input data (2)'!$C$2=4,$D43&gt;=0),OFFSET('Input data (2)'!U$126,'Input data (2)'!$BL$1-$D43,0),IF(AND('Input data (2)'!$C$2=3,$C43&gt;=0),OFFSET('Input data (2)'!U$126,'Input data (2)'!$BL$1-$C43,0),IF(AND('Input data (2)'!$C$2=2,$B43&gt;=0),OFFSET('Input data (2)'!U$126,'Input data (2)'!$BL$1-$B43,0),IF(AND('Input data (2)'!$C$2=1,$A43&gt;=0),OFFSET('Input data (2)'!U$126,'Input data (2)'!$BL$1-$A43,0),""))))</f>
        <v>1434</v>
      </c>
      <c r="AC63" s="1">
        <f ca="1">IF(AND('Input data (2)'!$C$2=4,$D43&gt;=0),OFFSET('Input data (2)'!V$126,'Input data (2)'!$BL$1-$D43,0),IF(AND('Input data (2)'!$C$2=3,$C43&gt;=0),OFFSET('Input data (2)'!V$126,'Input data (2)'!$BL$1-$C43,0),IF(AND('Input data (2)'!$C$2=2,$B43&gt;=0),OFFSET('Input data (2)'!V$126,'Input data (2)'!$BL$1-$B43,0),IF(AND('Input data (2)'!$C$2=1,$A43&gt;=0),OFFSET('Input data (2)'!V$126,'Input data (2)'!$BL$1-$A43,0),""))))</f>
        <v>20.719549198092761</v>
      </c>
      <c r="AD63" s="1">
        <f ca="1">IF(AND('Input data (2)'!$C$2=4,$D43&gt;=0),OFFSET('Input data (2)'!Q$126,'Input data (2)'!$BL$1-$D43,0),IF(AND('Input data (2)'!$C$2=3,$C43&gt;=0),OFFSET('Input data (2)'!Q$126,'Input data (2)'!$BL$1-$C43,0),IF(AND('Input data (2)'!$C$2=2,$B43&gt;=0),OFFSET('Input data (2)'!Q$126,'Input data (2)'!$BL$1-$B43,0),IF(AND('Input data (2)'!$C$2=1,$A43&gt;=0),OFFSET('Input data (2)'!Q$126,'Input data (2)'!$BL$1-$A43,0),""))))</f>
        <v>6921</v>
      </c>
      <c r="AE63" s="1">
        <f ca="1">IF(AND('Input data (2)'!$C$2=4,$D43&gt;=0),OFFSET('Input data (2)'!W$126,'Input data (2)'!$BL$1-$D43,0),IF(AND('Input data (2)'!$C$2=3,$C43&gt;=0),OFFSET('Input data (2)'!W$126,'Input data (2)'!$BL$1-$C43,0),IF(AND('Input data (2)'!$C$2=2,$B43&gt;=0),OFFSET('Input data (2)'!W$126,'Input data (2)'!$BL$1-$B43,0),IF(AND('Input data (2)'!$C$2=1,$A43&gt;=0),OFFSET('Input data (2)'!W$126,'Input data (2)'!$BL$1-$A43,0),""))))</f>
        <v>1710</v>
      </c>
      <c r="AF63" s="1">
        <f ca="1">IF(AND('Input data (2)'!$C$2=4,$D43&gt;=0),OFFSET('Input data (2)'!X$126,'Input data (2)'!$BL$1-$D43,0),IF(AND('Input data (2)'!$C$2=3,$C43&gt;=0),OFFSET('Input data (2)'!X$126,'Input data (2)'!$BL$1-$C43,0),IF(AND('Input data (2)'!$C$2=2,$B43&gt;=0),OFFSET('Input data (2)'!X$126,'Input data (2)'!$BL$1-$B43,0),IF(AND('Input data (2)'!$C$2=1,$A43&gt;=0),OFFSET('Input data (2)'!X$126,'Input data (2)'!$BL$1-$A43,0),""))))</f>
        <v>24.707412223667099</v>
      </c>
      <c r="AG63" s="1">
        <f ca="1">IF(AND('Input data (2)'!$C$2=4,$D43&gt;=0),OFFSET('Input data (2)'!Y$126,'Input data (2)'!$BL$1-$D43,0),IF(AND('Input data (2)'!$C$2=3,$C43&gt;=0),OFFSET('Input data (2)'!Y$126,'Input data (2)'!$BL$1-$C43,0),IF(AND('Input data (2)'!$C$2=2,$B43&gt;=0),OFFSET('Input data (2)'!Y$126,'Input data (2)'!$BL$1-$B43,0),IF(AND('Input data (2)'!$C$2=1,$A43&gt;=0),OFFSET('Input data (2)'!Y$126,'Input data (2)'!$BL$1-$A43,0),""))))</f>
        <v>5211</v>
      </c>
      <c r="AH63" s="1">
        <f ca="1">IF(AND('Input data (2)'!$C$2=4,$D43&gt;=0),OFFSET('Input data (2)'!Z$126,'Input data (2)'!$BL$1-$D43,0),IF(AND('Input data (2)'!$C$2=3,$C43&gt;=0),OFFSET('Input data (2)'!Z$126,'Input data (2)'!$BL$1-$C43,0),IF(AND('Input data (2)'!$C$2=2,$B43&gt;=0),OFFSET('Input data (2)'!Z$126,'Input data (2)'!$BL$1-$B43,0),IF(AND('Input data (2)'!$C$2=1,$A43&gt;=0),OFFSET('Input data (2)'!Z$126,'Input data (2)'!$BL$1-$A43,0),""))))</f>
        <v>75.292587776332894</v>
      </c>
      <c r="AI63" s="3"/>
      <c r="AJ63" s="124">
        <f ca="1">IF(AND('Input data (2)'!$C$2=4,$D43&gt;=0),OFFSET('Input data (2)'!AF$126,'Input data (2)'!$BL$1-$D43,0),IF(AND('Input data (2)'!$C$2=3,$C43&gt;=0),OFFSET('Input data (2)'!AF$126,'Input data (2)'!$BL$1-$C43,0),IF(AND('Input data (2)'!$C$2=2,$B43&gt;=0),OFFSET('Input data (2)'!AF$126,'Input data (2)'!$BL$1-$B43,0),IF(AND('Input data (2)'!$C$2=1,$A43&gt;=0),OFFSET('Input data (2)'!AF$126,'Input data (2)'!$BL$1-$A43,0),""))))</f>
        <v>0</v>
      </c>
      <c r="AK63" s="124">
        <f ca="1">IF(AND('Input data (2)'!$C$2=4,$D43&gt;=0),OFFSET('Input data (2)'!AD$126,'Input data (2)'!$BL$1-$D43,0),IF(AND('Input data (2)'!$C$2=3,$C43&gt;=0),OFFSET('Input data (2)'!AD$126,'Input data (2)'!$BL$1-$C43,0),IF(AND('Input data (2)'!$C$2=2,$B43&gt;=0),OFFSET('Input data (2)'!AD$126,'Input data (2)'!$BL$1-$B43,0),IF(AND('Input data (2)'!$C$2=1,$A43&gt;=0),OFFSET('Input data (2)'!AD$126,'Input data (2)'!$BL$1-$A43,0),""))))</f>
        <v>0</v>
      </c>
      <c r="AL63" s="124">
        <f ca="1">IF(AND('Input data (2)'!$C$2=4,$D43&gt;=0),OFFSET('Input data (2)'!AE$126,'Input data (2)'!$BL$1-$D43,0),IF(AND('Input data (2)'!$C$2=3,$C43&gt;=0),OFFSET('Input data (2)'!AE$126,'Input data (2)'!$BL$1-$C43,0),IF(AND('Input data (2)'!$C$2=2,$B43&gt;=0),OFFSET('Input data (2)'!AE$126,'Input data (2)'!$BL$1-$B43,0),IF(AND('Input data (2)'!$C$2=1,$A43&gt;=0),OFFSET('Input data (2)'!AE$126,'Input data (2)'!$BL$1-$A43,0),""))))</f>
        <v>0</v>
      </c>
      <c r="AW63" s="1">
        <f ca="1">IF(AND('Input data (2)'!$C$2=4,$D43&gt;=0),OFFSET('Input data (2)'!L$126,'Input data (2)'!$BL$1-$D43,0),IF(AND('Input data (2)'!$C$2=3,$C43&gt;=0),OFFSET('Input data (2)'!L$126,'Input data (2)'!$BL$1-$C43,0),IF(AND('Input data (2)'!$C$2=2,$B43&gt;=0),OFFSET('Input data (2)'!L$126,'Input data (2)'!$BL$1-$B43,0),IF(AND('Input data (2)'!$C$2=1,$A43&gt;=0),OFFSET('Input data (2)'!L$126,'Input data (2)'!$BL$1-$A43,0),""))))</f>
        <v>276</v>
      </c>
      <c r="AX63" s="1">
        <f ca="1">IF(AND('Input data (2)'!$C$2=4,$D43&gt;=0),OFFSET('Input data (2)'!M$126,'Input data (2)'!$BL$1-$D43,0),IF(AND('Input data (2)'!$C$2=3,$C43&gt;=0),OFFSET('Input data (2)'!M$126,'Input data (2)'!$BL$1-$C43,0),IF(AND('Input data (2)'!$C$2=2,$B43&gt;=0),OFFSET('Input data (2)'!M$126,'Input data (2)'!$BL$1-$B43,0),IF(AND('Input data (2)'!$C$2=1,$A43&gt;=0),OFFSET('Input data (2)'!M$126,'Input data (2)'!$BL$1-$A43,0),""))))</f>
        <v>0</v>
      </c>
      <c r="AY63" s="1">
        <f ca="1">IF(AND('Input data (2)'!$C$2=4,$D43&gt;=0),OFFSET('Input data (2)'!N$126,'Input data (2)'!$BL$1-$D43,0),IF(AND('Input data (2)'!$C$2=3,$C43&gt;=0),OFFSET('Input data (2)'!N$126,'Input data (2)'!$BL$1-$C43,0),IF(AND('Input data (2)'!$C$2=2,$B43&gt;=0),OFFSET('Input data (2)'!N$126,'Input data (2)'!$BL$1-$B43,0),IF(AND('Input data (2)'!$C$2=1,$A43&gt;=0),OFFSET('Input data (2)'!N$126,'Input data (2)'!$BL$1-$A43,0),""))))</f>
        <v>580</v>
      </c>
      <c r="AZ63" s="1">
        <f ca="1">IF(AND('Input data (2)'!$C$2=4,$D43&gt;=0),OFFSET('Input data (2)'!P$126,'Input data (2)'!$BL$1-$D43,0),IF(AND('Input data (2)'!$C$2=3,$C43&gt;=0),OFFSET('Input data (2)'!P$126,'Input data (2)'!$BL$1-$C43,0),IF(AND('Input data (2)'!$C$2=2,$B43&gt;=0),OFFSET('Input data (2)'!P$126,'Input data (2)'!$BL$1-$B43,0),IF(AND('Input data (2)'!$C$2=1,$A43&gt;=0),OFFSET('Input data (2)'!P$126,'Input data (2)'!$BL$1-$A43,0),""))))</f>
        <v>151</v>
      </c>
      <c r="BB63" s="1">
        <f ca="1">IF(AND('Input data (2)'!$C$2=4,$D43&gt;=0),OFFSET('Input data (2)'!BB$126,'Input data (2)'!$BL$1-$D43,0),IF(AND('Input data (2)'!$C$2=3,$C43&gt;=0),OFFSET('Input data (2)'!BB$126,'Input data (2)'!$BL$1-$C43,0),IF(AND('Input data (2)'!$C$2=2,$B43&gt;=0),OFFSET('Input data (2)'!BB$126,'Input data (2)'!$BL$1-$B43,0),IF(AND('Input data (2)'!$C$2=1,$A43&gt;=0),OFFSET('Input data (2)'!BB$126,'Input data (2)'!$BL$1-$A43,0),""))))</f>
        <v>3863</v>
      </c>
      <c r="BC63" s="1">
        <f ca="1">IF(AND('Input data (2)'!$C$2=4,$D43&gt;=0),OFFSET('Input data (2)'!AY$126,'Input data (2)'!$BL$1-$D43,0),IF(AND('Input data (2)'!$C$2=3,$C43&gt;=0),OFFSET('Input data (2)'!AY$126,'Input data (2)'!$BL$1-$C43,0),IF(AND('Input data (2)'!$C$2=2,$B43&gt;=0),OFFSET('Input data (2)'!AY$126,'Input data (2)'!$BL$1-$B43,0),IF(AND('Input data (2)'!$C$2=1,$A43&gt;=0),OFFSET('Input data (2)'!AY$126,'Input data (2)'!$BL$1-$A43,0),""))))</f>
        <v>1833</v>
      </c>
      <c r="BD63" s="1">
        <f ca="1">IF(AND('Input data (2)'!$C$2=4,$D43&gt;=0),OFFSET('Input data (2)'!AZ$126,'Input data (2)'!$BL$1-$D43,0),IF(AND('Input data (2)'!$C$2=3,$C43&gt;=0),OFFSET('Input data (2)'!AZ$126,'Input data (2)'!$BL$1-$C43,0),IF(AND('Input data (2)'!$C$2=2,$B43&gt;=0),OFFSET('Input data (2)'!AZ$126,'Input data (2)'!$BL$1-$B43,0),IF(AND('Input data (2)'!$C$2=1,$A43&gt;=0),OFFSET('Input data (2)'!AZ$126,'Input data (2)'!$BL$1-$A43,0),""))))</f>
        <v>607</v>
      </c>
      <c r="BE63" s="1">
        <f ca="1">IF(AND('Input data (2)'!$C$2=4,$D43&gt;=0),OFFSET('Input data (2)'!BA$126,'Input data (2)'!$BL$1-$D43,0),IF(AND('Input data (2)'!$C$2=3,$C43&gt;=0),OFFSET('Input data (2)'!BA$126,'Input data (2)'!$BL$1-$C43,0),IF(AND('Input data (2)'!$C$2=2,$B43&gt;=0),OFFSET('Input data (2)'!BA$126,'Input data (2)'!$BL$1-$B43,0),IF(AND('Input data (2)'!$C$2=1,$A43&gt;=0),OFFSET('Input data (2)'!BA$126,'Input data (2)'!$BL$1-$A43,0),""))))</f>
        <v>2030</v>
      </c>
      <c r="BF63" s="1">
        <f ca="1">IF(AND('Input data (2)'!$C$2=4,$D43&gt;=0),OFFSET('Input data (2)'!AP$126,'Input data (2)'!$BL$1-$D43,0),IF(AND('Input data (2)'!$C$2=3,$C43&gt;=0),OFFSET('Input data (2)'!AP$126,'Input data (2)'!$BL$1-$C43,0),IF(AND('Input data (2)'!$C$2=2,$B43&gt;=0),OFFSET('Input data (2)'!AP$126,'Input data (2)'!$BL$1-$B43,0),IF(AND('Input data (2)'!$C$2=1,$A43&gt;=0),OFFSET('Input data (2)'!AP$126,'Input data (2)'!$BL$1-$A43,0),""))))</f>
        <v>169</v>
      </c>
      <c r="BG63" s="1">
        <f ca="1">IF(AND('Input data (2)'!$C$2=4,$D43&gt;=0),OFFSET('Input data (2)'!AN$126,'Input data (2)'!$BL$1-$D43,0),IF(AND('Input data (2)'!$C$2=3,$C43&gt;=0),OFFSET('Input data (2)'!AN$126,'Input data (2)'!$BL$1-$C43,0),IF(AND('Input data (2)'!$C$2=2,$B43&gt;=0),OFFSET('Input data (2)'!AN$126,'Input data (2)'!$BL$1-$B43,0),IF(AND('Input data (2)'!$C$2=1,$A43&gt;=0),OFFSET('Input data (2)'!AN$126,'Input data (2)'!$BL$1-$A43,0),""))))</f>
        <v>98</v>
      </c>
      <c r="BH63" s="1">
        <f ca="1">IF(AND('Input data (2)'!$C$2=4,$D43&gt;=0),OFFSET('Input data (2)'!AO$126,'Input data (2)'!$BL$1-$D43,0),IF(AND('Input data (2)'!$C$2=3,$C43&gt;=0),OFFSET('Input data (2)'!AO$126,'Input data (2)'!$BL$1-$C43,0),IF(AND('Input data (2)'!$C$2=2,$B43&gt;=0),OFFSET('Input data (2)'!AO$126,'Input data (2)'!$BL$1-$B43,0),IF(AND('Input data (2)'!$C$2=1,$A43&gt;=0),OFFSET('Input data (2)'!AO$126,'Input data (2)'!$BL$1-$A43,0),""))))</f>
        <v>71</v>
      </c>
      <c r="BJ63" s="1">
        <f ca="1">IF(AND('Input data (2)'!$C$2=4,$D43&gt;=0),OFFSET('Input data (2)'!AU$126,'Input data (2)'!$BL$1-$D43,0),IF(AND('Input data (2)'!$C$2=3,$C43&gt;=0),OFFSET('Input data (2)'!AU$126,'Input data (2)'!$BL$1-$C43,0),IF(AND('Input data (2)'!$C$2=2,$B43&gt;=0),OFFSET('Input data (2)'!AU$126,'Input data (2)'!$BL$1-$B43,0),IF(AND('Input data (2)'!$C$2=1,$A43&gt;=0),OFFSET('Input data (2)'!AU$126,'Input data (2)'!$BL$1-$A43,0),""))))</f>
        <v>8</v>
      </c>
      <c r="BK63" s="1">
        <f ca="1">IF(AND('Input data (2)'!$C$2=4,$D43&gt;=0),OFFSET('Input data (2)'!AV$126,'Input data (2)'!$BL$1-$D43,0),IF(AND('Input data (2)'!$C$2=3,$C43&gt;=0),OFFSET('Input data (2)'!AV$126,'Input data (2)'!$BL$1-$C43,0),IF(AND('Input data (2)'!$C$2=2,$B43&gt;=0),OFFSET('Input data (2)'!AV$126,'Input data (2)'!$BL$1-$B43,0),IF(AND('Input data (2)'!$C$2=1,$A43&gt;=0),OFFSET('Input data (2)'!AV$126,'Input data (2)'!$BL$1-$A43,0),""))))</f>
        <v>0</v>
      </c>
      <c r="BL63" s="1">
        <f ca="1">IF(AND('Input data (2)'!$C$2=4,$D43&gt;=0),OFFSET('Input data (2)'!AW$126,'Input data (2)'!$BL$1-$D43,0),IF(AND('Input data (2)'!$C$2=3,$C43&gt;=0),OFFSET('Input data (2)'!AW$126,'Input data (2)'!$BL$1-$C43,0),IF(AND('Input data (2)'!$C$2=2,$B43&gt;=0),OFFSET('Input data (2)'!AW$126,'Input data (2)'!$BL$1-$B43,0),IF(AND('Input data (2)'!$C$2=1,$A43&gt;=0),OFFSET('Input data (2)'!AW$126,'Input data (2)'!$BL$1-$A43,0),""))))</f>
        <v>44</v>
      </c>
      <c r="BM63" s="1">
        <f ca="1">IF(AND('Input data (2)'!$C$2=4,$D43&gt;=0),OFFSET('Input data (2)'!AX$126,'Input data (2)'!$BL$1-$D43,0),IF(AND('Input data (2)'!$C$2=3,$C43&gt;=0),OFFSET('Input data (2)'!AX$126,'Input data (2)'!$BL$1-$C43,0),IF(AND('Input data (2)'!$C$2=2,$B43&gt;=0),OFFSET('Input data (2)'!AX$126,'Input data (2)'!$BL$1-$B43,0),IF(AND('Input data (2)'!$C$2=1,$A43&gt;=0),OFFSET('Input data (2)'!AX$126,'Input data (2)'!$BL$1-$A43,0),""))))</f>
        <v>4</v>
      </c>
      <c r="BO63" s="1">
        <f ca="1">IF(AND('Input data (2)'!$C$2=4,$D43&gt;=0),OFFSET('Input data (2)'!BL$126,'Input data (2)'!$BL$1-$D43,0),IF(AND('Input data (2)'!$C$2=3,$C43&gt;=0),OFFSET('Input data (2)'!BL$126,'Input data (2)'!$BL$1-$C43,0),IF(AND('Input data (2)'!$C$2=2,$B43&gt;=0),OFFSET('Input data (2)'!BL$126,'Input data (2)'!$BL$1-$B43,0),IF(AND('Input data (2)'!$C$2=1,$A43&gt;=0),OFFSET('Input data (2)'!BL$126,'Input data (2)'!$BL$1-$A43,0),""))))</f>
        <v>756</v>
      </c>
      <c r="BP63" s="1">
        <f ca="1">IF(AND('Input data (2)'!$C$2=4,$D43&gt;=0),OFFSET('Input data (2)'!BI$126,'Input data (2)'!$BL$1-$D43,0),IF(AND('Input data (2)'!$C$2=3,$C43&gt;=0),OFFSET('Input data (2)'!BI$126,'Input data (2)'!$BL$1-$C43,0),IF(AND('Input data (2)'!$C$2=2,$B43&gt;=0),OFFSET('Input data (2)'!BI$126,'Input data (2)'!$BL$1-$B43,0),IF(AND('Input data (2)'!$C$2=1,$A43&gt;=0),OFFSET('Input data (2)'!BI$126,'Input data (2)'!$BL$1-$A43,0),""))))</f>
        <v>359</v>
      </c>
      <c r="BQ63" s="1">
        <f ca="1">IF(AND('Input data (2)'!$C$2=4,$D43&gt;=0),OFFSET('Input data (2)'!BK$126,'Input data (2)'!$BL$1-$D43,0),IF(AND('Input data (2)'!$C$2=3,$C43&gt;=0),OFFSET('Input data (2)'!BK$126,'Input data (2)'!$BL$1-$C43,0),IF(AND('Input data (2)'!$C$2=2,$B43&gt;=0),OFFSET('Input data (2)'!BK$126,'Input data (2)'!$BL$1-$B43,0),IF(AND('Input data (2)'!$C$2=1,$A43&gt;=0),OFFSET('Input data (2)'!BK$126,'Input data (2)'!$BL$1-$A43,0),""))))</f>
        <v>117</v>
      </c>
      <c r="BR63" s="1">
        <f ca="1">IF(AND('Input data (2)'!$C$2=4,$D43&gt;=0),OFFSET('Input data (2)'!BJ$126,'Input data (2)'!$BL$1-$D43,0),IF(AND('Input data (2)'!$C$2=3,$C43&gt;=0),OFFSET('Input data (2)'!BJ$126,'Input data (2)'!$BL$1-$C43,0),IF(AND('Input data (2)'!$C$2=2,$B43&gt;=0),OFFSET('Input data (2)'!BJ$126,'Input data (2)'!$BL$1-$B43,0),IF(AND('Input data (2)'!$C$2=1,$A43&gt;=0),OFFSET('Input data (2)'!BJ$126,'Input data (2)'!$BL$1-$A43,0),""))))</f>
        <v>280</v>
      </c>
      <c r="BS63" s="1">
        <f ca="1">IF(AND('Input data (2)'!$C$2=4,$D43&gt;=0),OFFSET('Input data (2)'!BF$126,'Input data (2)'!$BL$1-$D43,0),IF(AND('Input data (2)'!$C$2=3,$C43&gt;=0),OFFSET('Input data (2)'!BF$126,'Input data (2)'!$BL$1-$C43,0),IF(AND('Input data (2)'!$C$2=2,$B43&gt;=0),OFFSET('Input data (2)'!BF$126,'Input data (2)'!$BL$1-$B43,0),IF(AND('Input data (2)'!$C$2=1,$A43&gt;=0),OFFSET('Input data (2)'!BF$126,'Input data (2)'!$BL$1-$A43,0),""))))</f>
        <v>86</v>
      </c>
      <c r="BT63" s="1">
        <f ca="1">IF(AND('Input data (2)'!$C$2=4,$D43&gt;=0),OFFSET('Input data (2)'!BD$126,'Input data (2)'!$BL$1-$D43,0),IF(AND('Input data (2)'!$C$2=3,$C43&gt;=0),OFFSET('Input data (2)'!BD$126,'Input data (2)'!$BL$1-$C43,0),IF(AND('Input data (2)'!$C$2=2,$B43&gt;=0),OFFSET('Input data (2)'!BD$126,'Input data (2)'!$BL$1-$B43,0),IF(AND('Input data (2)'!$C$2=1,$A43&gt;=0),OFFSET('Input data (2)'!BD$126,'Input data (2)'!$BL$1-$A43,0),""))))</f>
        <v>48</v>
      </c>
      <c r="BU63" s="1">
        <f ca="1">IF(AND('Input data (2)'!$C$2=4,$D43&gt;=0),OFFSET('Input data (2)'!BE$126,'Input data (2)'!$BL$1-$D43,0),IF(AND('Input data (2)'!$C$2=3,$C43&gt;=0),OFFSET('Input data (2)'!BE$126,'Input data (2)'!$BL$1-$C43,0),IF(AND('Input data (2)'!$C$2=2,$B43&gt;=0),OFFSET('Input data (2)'!BE$126,'Input data (2)'!$BL$1-$B43,0),IF(AND('Input data (2)'!$C$2=1,$A43&gt;=0),OFFSET('Input data (2)'!BE$126,'Input data (2)'!$BL$1-$A43,0),""))))</f>
        <v>38</v>
      </c>
      <c r="BW63" s="7">
        <f ca="1">IF(AND('Input data (2)'!$C$2=4,$D43&gt;=0),OFFSET('Input data (2)'!J$126,'Input data (2)'!$BL$1-$D43,0),IF(AND('Input data (2)'!$C$2=3,$C43&gt;=0),OFFSET('Input data (2)'!J$126,'Input data (2)'!$BL$1-$C43,0),IF(AND('Input data (2)'!$C$2=2,$B43&gt;=0),OFFSET('Input data (2)'!J$126,'Input data (2)'!$BL$1-$B43,0),IF(AND('Input data (2)'!$C$2=1,$A43&gt;=0),OFFSET('Input data (2)'!J$126,'Input data (2)'!$BL$1-$A43,0),""))))</f>
        <v>0.69400020940242502</v>
      </c>
      <c r="BX63" s="7">
        <f ca="1">IF(AND('Input data (2)'!$C$2=4,$D43&gt;=0),OFFSET('Input data (2)'!K$126,'Input data (2)'!$BL$1-$D43,0),IF(AND('Input data (2)'!$C$2=3,$C43&gt;=0),OFFSET('Input data (2)'!K$126,'Input data (2)'!$BL$1-$C43,0),IF(AND('Input data (2)'!$C$2=2,$B43&gt;=0),OFFSET('Input data (2)'!K$126,'Input data (2)'!$BL$1-$B43,0),IF(AND('Input data (2)'!$C$2=1,$A43&gt;=0),OFFSET('Input data (2)'!K$126,'Input data (2)'!$BL$1-$A43,0),""))))</f>
        <v>0.63434166153690719</v>
      </c>
      <c r="BY63" s="7">
        <f ca="1">IF(AND('Input data (2)'!$C$2=4,$D43&gt;=0),OFFSET('Input data (2)'!AS$126,'Input data (2)'!$BL$1-$D43,0),IF(AND('Input data (2)'!$C$2=3,$C43&gt;=0),OFFSET('Input data (2)'!AS$126,'Input data (2)'!$BL$1-$C43,0),IF(AND('Input data (2)'!$C$2=2,$B43&gt;=0),OFFSET('Input data (2)'!AS$126,'Input data (2)'!$BL$1-$B43,0),IF(AND('Input data (2)'!$C$2=1,$A43&gt;=0),OFFSET('Input data (2)'!AS$126,'Input data (2)'!$BL$1-$A43,0),""))))</f>
        <v>0.82958507484889255</v>
      </c>
      <c r="BZ63" s="7">
        <f ca="1">IF(AND('Input data (2)'!$C$2=4,$D43&gt;=0),OFFSET('Input data (2)'!AT$126,'Input data (2)'!$BL$1-$D43,0),IF(AND('Input data (2)'!$C$2=3,$C43&gt;=0),OFFSET('Input data (2)'!AT$126,'Input data (2)'!$BL$1-$C43,0),IF(AND('Input data (2)'!$C$2=2,$B43&gt;=0),OFFSET('Input data (2)'!AT$126,'Input data (2)'!$BL$1-$B43,0),IF(AND('Input data (2)'!$C$2=1,$A43&gt;=0),OFFSET('Input data (2)'!AT$126,'Input data (2)'!$BL$1-$A43,0),""))))</f>
        <v>0.75049683641693565</v>
      </c>
      <c r="CB63" s="122"/>
      <c r="CC63" s="122"/>
      <c r="CD63" s="122"/>
      <c r="CE63" s="122"/>
    </row>
    <row r="65" spans="5:83" x14ac:dyDescent="0.15">
      <c r="E65" s="1" t="str">
        <f>F65&amp;G60</f>
        <v>2013Q1</v>
      </c>
      <c r="F65" s="1">
        <f>F60+1</f>
        <v>2013</v>
      </c>
      <c r="G65" s="1" t="str">
        <f>IF(F65&amp;G60='Input data (2)'!$C$3,"p "&amp;'Output data - DO NOT TOUCH (2)'!G60,'Output data - DO NOT TOUCH (2)'!G60)</f>
        <v>Q1</v>
      </c>
      <c r="H65" s="1">
        <f>VLOOKUP($E65,'Input data (2)'!$A:$BL,'Output data - DO NOT TOUCH (2)'!H$71,FALSE)</f>
        <v>3681</v>
      </c>
      <c r="I65" s="1">
        <f>VLOOKUP($E65,'Input data (2)'!$A:$BL,'Output data - DO NOT TOUCH (2)'!I$71,FALSE)</f>
        <v>973</v>
      </c>
      <c r="J65" s="1">
        <f>VLOOKUP($E65,'Input data (2)'!$A:$BL,'Output data - DO NOT TOUCH (2)'!J$71,FALSE)</f>
        <v>2708</v>
      </c>
      <c r="K65" s="1">
        <f>VLOOKUP($E65,'Input data (2)'!$A:$BL,'Output data - DO NOT TOUCH (2)'!K$71,FALSE)</f>
        <v>3601.25343208704</v>
      </c>
      <c r="L65" s="1">
        <f>VLOOKUP($E65,'Input data (2)'!$A:$BL,'Output data - DO NOT TOUCH (2)'!L$71,FALSE)</f>
        <v>1028.83399058485</v>
      </c>
      <c r="M65" s="1">
        <f>VLOOKUP($E65,'Input data (2)'!$A:$BL,'Output data - DO NOT TOUCH (2)'!M$71,FALSE)</f>
        <v>2572.4194415021898</v>
      </c>
      <c r="O65" s="119">
        <f ca="1">IF(AND('Input data (2)'!$C$2=4,$D44&gt;=0),OFFSET('Input data (2)'!O$126,'Input data (2)'!$BL$1-$D44,0),IF(AND('Input data (2)'!$C$2=3,$C44&gt;=0),OFFSET('Input data (2)'!O$126,'Input data (2)'!$BL$1-$C44,0),IF(AND('Input data (2)'!$C$2=2,$B44&gt;=0),OFFSET('Input data (2)'!O$126,'Input data (2)'!$BL$1-$B44,0),IF(AND('Input data (2)'!$C$2=1,$A44&gt;=0),OFFSET('Input data (2)'!O$126,'Input data (2)'!$BL$1-$A44,0),""))))</f>
        <v>269</v>
      </c>
      <c r="Q65" s="1">
        <f ca="1">IF(AND('Input data (2)'!$C$2=4,$D44&gt;=0),OFFSET('Input data (2)'!AC$126,'Input data (2)'!$BL$1-$D44,0),IF(AND('Input data (2)'!$C$2=3,$C44&gt;=0),OFFSET('Input data (2)'!AC$126,'Input data (2)'!$BL$1-$C44,0),IF(AND('Input data (2)'!$C$2=2,$B44&gt;=0),OFFSET('Input data (2)'!AC$126,'Input data (2)'!$BL$1-$B44,0),IF(AND('Input data (2)'!$C$2=1,$A44&gt;=0),OFFSET('Input data (2)'!AC$126,'Input data (2)'!$BL$1-$A44,0),""))))</f>
        <v>25016</v>
      </c>
      <c r="R65" s="1">
        <f ca="1">IF(AND('Input data (2)'!$C$2=4,$D44&gt;=0),OFFSET('Input data (2)'!Q$126,'Input data (2)'!$BL$1-$D44,0),IF(AND('Input data (2)'!$C$2=3,$C44&gt;=0),OFFSET('Input data (2)'!Q$126,'Input data (2)'!$BL$1-$C44,0),IF(AND('Input data (2)'!$C$2=2,$B44&gt;=0),OFFSET('Input data (2)'!Q$126,'Input data (2)'!$BL$1-$B44,0),IF(AND('Input data (2)'!$C$2=1,$A44&gt;=0),OFFSET('Input data (2)'!Q$126,'Input data (2)'!$BL$1-$A44,0),""))))</f>
        <v>6673</v>
      </c>
      <c r="S65" s="1">
        <f ca="1">IF(AND('Input data (2)'!$C$2=4,$D44&gt;=0),OFFSET('Input data (2)'!R$126,'Input data (2)'!$BL$1-$D44,0),IF(AND('Input data (2)'!$C$2=3,$C44&gt;=0),OFFSET('Input data (2)'!R$126,'Input data (2)'!$BL$1-$C44,0),IF(AND('Input data (2)'!$C$2=2,$B44&gt;=0),OFFSET('Input data (2)'!R$126,'Input data (2)'!$BL$1-$B44,0),IF(AND('Input data (2)'!$C$2=1,$A44&gt;=0),OFFSET('Input data (2)'!R$126,'Input data (2)'!$BL$1-$A44,0),""))))</f>
        <v>7219</v>
      </c>
      <c r="T65" s="1">
        <f ca="1">IF(AND('Input data (2)'!$C$2=4,$D44&gt;=0),OFFSET('Input data (2)'!AA$126,'Input data (2)'!$BL$1-$D44,0),IF(AND('Input data (2)'!$C$2=3,$C44&gt;=0),OFFSET('Input data (2)'!AA$126,'Input data (2)'!$BL$1-$C44,0),IF(AND('Input data (2)'!$C$2=2,$B44&gt;=0),OFFSET('Input data (2)'!AA$126,'Input data (2)'!$BL$1-$B44,0),IF(AND('Input data (2)'!$C$2=1,$A44&gt;=0),OFFSET('Input data (2)'!AA$126,'Input data (2)'!$BL$1-$A44,0),""))))</f>
        <v>11124</v>
      </c>
      <c r="U65" s="1" t="str">
        <f ca="1">IF(AND('Input data (2)'!$C$2=4,$D44&gt;=0),OFFSET('Input data (2)'!AL$126,'Input data (2)'!$BL$1-$D44,0),IF(AND('Input data (2)'!$C$2=3,$C44&gt;=0),OFFSET('Input data (2)'!AL$126,'Input data (2)'!$BL$1-$C44,0),IF(AND('Input data (2)'!$C$2=2,$B44&gt;=0),OFFSET('Input data (2)'!AL$126,'Input data (2)'!$BL$1-$B44,0),IF(AND('Input data (2)'!$C$2=1,$A44&gt;=0),OFFSET('Input data (2)'!AL$126,'Input data (2)'!$BL$1-$A44,0),""))))</f>
        <v>:</v>
      </c>
      <c r="V65" s="1">
        <f ca="1">IF(AND('Input data (2)'!$C$2=4,$D44&gt;=0),OFFSET('Input data (2)'!AJ$126,'Input data (2)'!$BL$1-$D44,0),IF(AND('Input data (2)'!$C$2=3,$C44&gt;=0),OFFSET('Input data (2)'!AJ$126,'Input data (2)'!$BL$1-$C44,0),IF(AND('Input data (2)'!$C$2=2,$B44&gt;=0),OFFSET('Input data (2)'!AJ$126,'Input data (2)'!$BL$1-$B44,0),IF(AND('Input data (2)'!$C$2=1,$A44&gt;=0),OFFSET('Input data (2)'!AJ$126,'Input data (2)'!$BL$1-$A44,0),""))))</f>
        <v>6629.7460956043196</v>
      </c>
      <c r="W65" s="1">
        <f ca="1">IF(AND('Input data (2)'!$C$2=4,$D44&gt;=0),OFFSET('Input data (2)'!AK$126,'Input data (2)'!$BL$1-$D44,0),IF(AND('Input data (2)'!$C$2=3,$C44&gt;=0),OFFSET('Input data (2)'!AK$126,'Input data (2)'!$BL$1-$C44,0),IF(AND('Input data (2)'!$C$2=2,$B44&gt;=0),OFFSET('Input data (2)'!AK$126,'Input data (2)'!$BL$1-$B44,0),IF(AND('Input data (2)'!$C$2=1,$A44&gt;=0),OFFSET('Input data (2)'!AK$126,'Input data (2)'!$BL$1-$A44,0),""))))</f>
        <v>11982.7209770503</v>
      </c>
      <c r="Y65" s="1">
        <f ca="1">IF(AND('Input data (2)'!$C$2=4,$D44&gt;=0),OFFSET('Input data (2)'!Q$126,'Input data (2)'!$BL$1-$D44,0),IF(AND('Input data (2)'!$C$2=3,$C44&gt;=0),OFFSET('Input data (2)'!Q$126,'Input data (2)'!$BL$1-$C44,0),IF(AND('Input data (2)'!$C$2=2,$B44&gt;=0),OFFSET('Input data (2)'!Q$126,'Input data (2)'!$BL$1-$B44,0),IF(AND('Input data (2)'!$C$2=1,$A44&gt;=0),OFFSET('Input data (2)'!Q$126,'Input data (2)'!$BL$1-$A44,0),""))))</f>
        <v>6673</v>
      </c>
      <c r="Z65" s="1">
        <f ca="1">IF(AND('Input data (2)'!$C$2=4,$D44&gt;=0),OFFSET('Input data (2)'!S$126,'Input data (2)'!$BL$1-$D44,0),IF(AND('Input data (2)'!$C$2=3,$C44&gt;=0),OFFSET('Input data (2)'!S$126,'Input data (2)'!$BL$1-$C44,0),IF(AND('Input data (2)'!$C$2=2,$B44&gt;=0),OFFSET('Input data (2)'!S$126,'Input data (2)'!$BL$1-$B44,0),IF(AND('Input data (2)'!$C$2=1,$A44&gt;=0),OFFSET('Input data (2)'!S$126,'Input data (2)'!$BL$1-$A44,0),""))))</f>
        <v>5380</v>
      </c>
      <c r="AA65" s="1">
        <f ca="1">IF(AND('Input data (2)'!$C$2=4,$D44&gt;=0),OFFSET('Input data (2)'!T$126,'Input data (2)'!$BL$1-$D44,0),IF(AND('Input data (2)'!$C$2=3,$C44&gt;=0),OFFSET('Input data (2)'!T$126,'Input data (2)'!$BL$1-$C44,0),IF(AND('Input data (2)'!$C$2=2,$B44&gt;=0),OFFSET('Input data (2)'!T$126,'Input data (2)'!$BL$1-$B44,0),IF(AND('Input data (2)'!$C$2=1,$A44&gt;=0),OFFSET('Input data (2)'!T$126,'Input data (2)'!$BL$1-$A44,0),""))))</f>
        <v>80.623407762625504</v>
      </c>
      <c r="AB65" s="1">
        <f ca="1">IF(AND('Input data (2)'!$C$2=4,$D44&gt;=0),OFFSET('Input data (2)'!U$126,'Input data (2)'!$BL$1-$D44,0),IF(AND('Input data (2)'!$C$2=3,$C44&gt;=0),OFFSET('Input data (2)'!U$126,'Input data (2)'!$BL$1-$C44,0),IF(AND('Input data (2)'!$C$2=2,$B44&gt;=0),OFFSET('Input data (2)'!U$126,'Input data (2)'!$BL$1-$B44,0),IF(AND('Input data (2)'!$C$2=1,$A44&gt;=0),OFFSET('Input data (2)'!U$126,'Input data (2)'!$BL$1-$A44,0),""))))</f>
        <v>1293</v>
      </c>
      <c r="AC65" s="1">
        <f ca="1">IF(AND('Input data (2)'!$C$2=4,$D44&gt;=0),OFFSET('Input data (2)'!V$126,'Input data (2)'!$BL$1-$D44,0),IF(AND('Input data (2)'!$C$2=3,$C44&gt;=0),OFFSET('Input data (2)'!V$126,'Input data (2)'!$BL$1-$C44,0),IF(AND('Input data (2)'!$C$2=2,$B44&gt;=0),OFFSET('Input data (2)'!V$126,'Input data (2)'!$BL$1-$B44,0),IF(AND('Input data (2)'!$C$2=1,$A44&gt;=0),OFFSET('Input data (2)'!V$126,'Input data (2)'!$BL$1-$A44,0),""))))</f>
        <v>19.376592237374492</v>
      </c>
      <c r="AD65" s="1">
        <f ca="1">IF(AND('Input data (2)'!$C$2=4,$D44&gt;=0),OFFSET('Input data (2)'!Q$126,'Input data (2)'!$BL$1-$D44,0),IF(AND('Input data (2)'!$C$2=3,$C44&gt;=0),OFFSET('Input data (2)'!Q$126,'Input data (2)'!$BL$1-$C44,0),IF(AND('Input data (2)'!$C$2=2,$B44&gt;=0),OFFSET('Input data (2)'!Q$126,'Input data (2)'!$BL$1-$B44,0),IF(AND('Input data (2)'!$C$2=1,$A44&gt;=0),OFFSET('Input data (2)'!Q$126,'Input data (2)'!$BL$1-$A44,0),""))))</f>
        <v>6673</v>
      </c>
      <c r="AE65" s="1">
        <f ca="1">IF(AND('Input data (2)'!$C$2=4,$D44&gt;=0),OFFSET('Input data (2)'!W$126,'Input data (2)'!$BL$1-$D44,0),IF(AND('Input data (2)'!$C$2=3,$C44&gt;=0),OFFSET('Input data (2)'!W$126,'Input data (2)'!$BL$1-$C44,0),IF(AND('Input data (2)'!$C$2=2,$B44&gt;=0),OFFSET('Input data (2)'!W$126,'Input data (2)'!$BL$1-$B44,0),IF(AND('Input data (2)'!$C$2=1,$A44&gt;=0),OFFSET('Input data (2)'!W$126,'Input data (2)'!$BL$1-$A44,0),""))))</f>
        <v>1682</v>
      </c>
      <c r="AF65" s="1">
        <f ca="1">IF(AND('Input data (2)'!$C$2=4,$D44&gt;=0),OFFSET('Input data (2)'!X$126,'Input data (2)'!$BL$1-$D44,0),IF(AND('Input data (2)'!$C$2=3,$C44&gt;=0),OFFSET('Input data (2)'!X$126,'Input data (2)'!$BL$1-$C44,0),IF(AND('Input data (2)'!$C$2=2,$B44&gt;=0),OFFSET('Input data (2)'!X$126,'Input data (2)'!$BL$1-$B44,0),IF(AND('Input data (2)'!$C$2=1,$A44&gt;=0),OFFSET('Input data (2)'!X$126,'Input data (2)'!$BL$1-$A44,0),""))))</f>
        <v>25.20605424846396</v>
      </c>
      <c r="AG65" s="1">
        <f ca="1">IF(AND('Input data (2)'!$C$2=4,$D44&gt;=0),OFFSET('Input data (2)'!Y$126,'Input data (2)'!$BL$1-$D44,0),IF(AND('Input data (2)'!$C$2=3,$C44&gt;=0),OFFSET('Input data (2)'!Y$126,'Input data (2)'!$BL$1-$C44,0),IF(AND('Input data (2)'!$C$2=2,$B44&gt;=0),OFFSET('Input data (2)'!Y$126,'Input data (2)'!$BL$1-$B44,0),IF(AND('Input data (2)'!$C$2=1,$A44&gt;=0),OFFSET('Input data (2)'!Y$126,'Input data (2)'!$BL$1-$A44,0),""))))</f>
        <v>4991</v>
      </c>
      <c r="AH65" s="1">
        <f ca="1">IF(AND('Input data (2)'!$C$2=4,$D44&gt;=0),OFFSET('Input data (2)'!Z$126,'Input data (2)'!$BL$1-$D44,0),IF(AND('Input data (2)'!$C$2=3,$C44&gt;=0),OFFSET('Input data (2)'!Z$126,'Input data (2)'!$BL$1-$C44,0),IF(AND('Input data (2)'!$C$2=2,$B44&gt;=0),OFFSET('Input data (2)'!Z$126,'Input data (2)'!$BL$1-$B44,0),IF(AND('Input data (2)'!$C$2=1,$A44&gt;=0),OFFSET('Input data (2)'!Z$126,'Input data (2)'!$BL$1-$A44,0),""))))</f>
        <v>74.793945751536043</v>
      </c>
      <c r="AI65" s="3"/>
      <c r="AJ65" s="124">
        <f ca="1">IF(AND('Input data (2)'!$C$2=4,$D44&gt;=0),OFFSET('Input data (2)'!AF$126,'Input data (2)'!$BL$1-$D44,0),IF(AND('Input data (2)'!$C$2=3,$C44&gt;=0),OFFSET('Input data (2)'!AF$126,'Input data (2)'!$BL$1-$C44,0),IF(AND('Input data (2)'!$C$2=2,$B44&gt;=0),OFFSET('Input data (2)'!AF$126,'Input data (2)'!$BL$1-$B44,0),IF(AND('Input data (2)'!$C$2=1,$A44&gt;=0),OFFSET('Input data (2)'!AF$126,'Input data (2)'!$BL$1-$A44,0),""))))</f>
        <v>0</v>
      </c>
      <c r="AK65" s="124">
        <f ca="1">IF(AND('Input data (2)'!$C$2=4,$D44&gt;=0),OFFSET('Input data (2)'!AD$126,'Input data (2)'!$BL$1-$D44,0),IF(AND('Input data (2)'!$C$2=3,$C44&gt;=0),OFFSET('Input data (2)'!AD$126,'Input data (2)'!$BL$1-$C44,0),IF(AND('Input data (2)'!$C$2=2,$B44&gt;=0),OFFSET('Input data (2)'!AD$126,'Input data (2)'!$BL$1-$B44,0),IF(AND('Input data (2)'!$C$2=1,$A44&gt;=0),OFFSET('Input data (2)'!AD$126,'Input data (2)'!$BL$1-$A44,0),""))))</f>
        <v>0</v>
      </c>
      <c r="AL65" s="124">
        <f ca="1">IF(AND('Input data (2)'!$C$2=4,$D44&gt;=0),OFFSET('Input data (2)'!AE$126,'Input data (2)'!$BL$1-$D44,0),IF(AND('Input data (2)'!$C$2=3,$C44&gt;=0),OFFSET('Input data (2)'!AE$126,'Input data (2)'!$BL$1-$C44,0),IF(AND('Input data (2)'!$C$2=2,$B44&gt;=0),OFFSET('Input data (2)'!AE$126,'Input data (2)'!$BL$1-$B44,0),IF(AND('Input data (2)'!$C$2=1,$A44&gt;=0),OFFSET('Input data (2)'!AE$126,'Input data (2)'!$BL$1-$A44,0),""))))</f>
        <v>0</v>
      </c>
      <c r="AW65" s="1">
        <f ca="1">IF(AND('Input data (2)'!$C$2=4,$D44&gt;=0),OFFSET('Input data (2)'!L$126,'Input data (2)'!$BL$1-$D44,0),IF(AND('Input data (2)'!$C$2=3,$C44&gt;=0),OFFSET('Input data (2)'!L$126,'Input data (2)'!$BL$1-$C44,0),IF(AND('Input data (2)'!$C$2=2,$B44&gt;=0),OFFSET('Input data (2)'!L$126,'Input data (2)'!$BL$1-$B44,0),IF(AND('Input data (2)'!$C$2=1,$A44&gt;=0),OFFSET('Input data (2)'!L$126,'Input data (2)'!$BL$1-$A44,0),""))))</f>
        <v>236</v>
      </c>
      <c r="AX65" s="1">
        <f ca="1">IF(AND('Input data (2)'!$C$2=4,$D44&gt;=0),OFFSET('Input data (2)'!M$126,'Input data (2)'!$BL$1-$D44,0),IF(AND('Input data (2)'!$C$2=3,$C44&gt;=0),OFFSET('Input data (2)'!M$126,'Input data (2)'!$BL$1-$C44,0),IF(AND('Input data (2)'!$C$2=2,$B44&gt;=0),OFFSET('Input data (2)'!M$126,'Input data (2)'!$BL$1-$B44,0),IF(AND('Input data (2)'!$C$2=1,$A44&gt;=0),OFFSET('Input data (2)'!M$126,'Input data (2)'!$BL$1-$A44,0),""))))</f>
        <v>0</v>
      </c>
      <c r="AY65" s="1">
        <f ca="1">IF(AND('Input data (2)'!$C$2=4,$D44&gt;=0),OFFSET('Input data (2)'!N$126,'Input data (2)'!$BL$1-$D44,0),IF(AND('Input data (2)'!$C$2=3,$C44&gt;=0),OFFSET('Input data (2)'!N$126,'Input data (2)'!$BL$1-$C44,0),IF(AND('Input data (2)'!$C$2=2,$B44&gt;=0),OFFSET('Input data (2)'!N$126,'Input data (2)'!$BL$1-$B44,0),IF(AND('Input data (2)'!$C$2=1,$A44&gt;=0),OFFSET('Input data (2)'!N$126,'Input data (2)'!$BL$1-$A44,0),""))))</f>
        <v>557</v>
      </c>
      <c r="AZ65" s="1">
        <f ca="1">IF(AND('Input data (2)'!$C$2=4,$D44&gt;=0),OFFSET('Input data (2)'!P$126,'Input data (2)'!$BL$1-$D44,0),IF(AND('Input data (2)'!$C$2=3,$C44&gt;=0),OFFSET('Input data (2)'!P$126,'Input data (2)'!$BL$1-$C44,0),IF(AND('Input data (2)'!$C$2=2,$B44&gt;=0),OFFSET('Input data (2)'!P$126,'Input data (2)'!$BL$1-$B44,0),IF(AND('Input data (2)'!$C$2=1,$A44&gt;=0),OFFSET('Input data (2)'!P$126,'Input data (2)'!$BL$1-$A44,0),""))))</f>
        <v>142</v>
      </c>
      <c r="BB65" s="1">
        <f ca="1">IF(AND('Input data (2)'!$C$2=4,$D44&gt;=0),OFFSET('Input data (2)'!BB$126,'Input data (2)'!$BL$1-$D44,0),IF(AND('Input data (2)'!$C$2=3,$C44&gt;=0),OFFSET('Input data (2)'!BB$126,'Input data (2)'!$BL$1-$C44,0),IF(AND('Input data (2)'!$C$2=2,$B44&gt;=0),OFFSET('Input data (2)'!BB$126,'Input data (2)'!$BL$1-$B44,0),IF(AND('Input data (2)'!$C$2=1,$A44&gt;=0),OFFSET('Input data (2)'!BB$126,'Input data (2)'!$BL$1-$A44,0),""))))</f>
        <v>3486</v>
      </c>
      <c r="BC65" s="1">
        <f ca="1">IF(AND('Input data (2)'!$C$2=4,$D44&gt;=0),OFFSET('Input data (2)'!AY$126,'Input data (2)'!$BL$1-$D44,0),IF(AND('Input data (2)'!$C$2=3,$C44&gt;=0),OFFSET('Input data (2)'!AY$126,'Input data (2)'!$BL$1-$C44,0),IF(AND('Input data (2)'!$C$2=2,$B44&gt;=0),OFFSET('Input data (2)'!AY$126,'Input data (2)'!$BL$1-$B44,0),IF(AND('Input data (2)'!$C$2=1,$A44&gt;=0),OFFSET('Input data (2)'!AY$126,'Input data (2)'!$BL$1-$A44,0),""))))</f>
        <v>1834</v>
      </c>
      <c r="BD65" s="1">
        <f ca="1">IF(AND('Input data (2)'!$C$2=4,$D44&gt;=0),OFFSET('Input data (2)'!AZ$126,'Input data (2)'!$BL$1-$D44,0),IF(AND('Input data (2)'!$C$2=3,$C44&gt;=0),OFFSET('Input data (2)'!AZ$126,'Input data (2)'!$BL$1-$C44,0),IF(AND('Input data (2)'!$C$2=2,$B44&gt;=0),OFFSET('Input data (2)'!AZ$126,'Input data (2)'!$BL$1-$B44,0),IF(AND('Input data (2)'!$C$2=1,$A44&gt;=0),OFFSET('Input data (2)'!AZ$126,'Input data (2)'!$BL$1-$A44,0),""))))</f>
        <v>658</v>
      </c>
      <c r="BE65" s="1">
        <f ca="1">IF(AND('Input data (2)'!$C$2=4,$D44&gt;=0),OFFSET('Input data (2)'!BA$126,'Input data (2)'!$BL$1-$D44,0),IF(AND('Input data (2)'!$C$2=3,$C44&gt;=0),OFFSET('Input data (2)'!BA$126,'Input data (2)'!$BL$1-$C44,0),IF(AND('Input data (2)'!$C$2=2,$B44&gt;=0),OFFSET('Input data (2)'!BA$126,'Input data (2)'!$BL$1-$B44,0),IF(AND('Input data (2)'!$C$2=1,$A44&gt;=0),OFFSET('Input data (2)'!BA$126,'Input data (2)'!$BL$1-$A44,0),""))))</f>
        <v>1652</v>
      </c>
      <c r="BF65" s="1">
        <f ca="1">IF(AND('Input data (2)'!$C$2=4,$D44&gt;=0),OFFSET('Input data (2)'!AP$126,'Input data (2)'!$BL$1-$D44,0),IF(AND('Input data (2)'!$C$2=3,$C44&gt;=0),OFFSET('Input data (2)'!AP$126,'Input data (2)'!$BL$1-$C44,0),IF(AND('Input data (2)'!$C$2=2,$B44&gt;=0),OFFSET('Input data (2)'!AP$126,'Input data (2)'!$BL$1-$B44,0),IF(AND('Input data (2)'!$C$2=1,$A44&gt;=0),OFFSET('Input data (2)'!AP$126,'Input data (2)'!$BL$1-$A44,0),""))))</f>
        <v>113</v>
      </c>
      <c r="BG65" s="1">
        <f ca="1">IF(AND('Input data (2)'!$C$2=4,$D44&gt;=0),OFFSET('Input data (2)'!AN$126,'Input data (2)'!$BL$1-$D44,0),IF(AND('Input data (2)'!$C$2=3,$C44&gt;=0),OFFSET('Input data (2)'!AN$126,'Input data (2)'!$BL$1-$C44,0),IF(AND('Input data (2)'!$C$2=2,$B44&gt;=0),OFFSET('Input data (2)'!AN$126,'Input data (2)'!$BL$1-$B44,0),IF(AND('Input data (2)'!$C$2=1,$A44&gt;=0),OFFSET('Input data (2)'!AN$126,'Input data (2)'!$BL$1-$A44,0),""))))</f>
        <v>59</v>
      </c>
      <c r="BH65" s="1">
        <f ca="1">IF(AND('Input data (2)'!$C$2=4,$D44&gt;=0),OFFSET('Input data (2)'!AO$126,'Input data (2)'!$BL$1-$D44,0),IF(AND('Input data (2)'!$C$2=3,$C44&gt;=0),OFFSET('Input data (2)'!AO$126,'Input data (2)'!$BL$1-$C44,0),IF(AND('Input data (2)'!$C$2=2,$B44&gt;=0),OFFSET('Input data (2)'!AO$126,'Input data (2)'!$BL$1-$B44,0),IF(AND('Input data (2)'!$C$2=1,$A44&gt;=0),OFFSET('Input data (2)'!AO$126,'Input data (2)'!$BL$1-$A44,0),""))))</f>
        <v>54</v>
      </c>
      <c r="BJ65" s="1">
        <f ca="1">IF(AND('Input data (2)'!$C$2=4,$D44&gt;=0),OFFSET('Input data (2)'!AU$126,'Input data (2)'!$BL$1-$D44,0),IF(AND('Input data (2)'!$C$2=3,$C44&gt;=0),OFFSET('Input data (2)'!AU$126,'Input data (2)'!$BL$1-$C44,0),IF(AND('Input data (2)'!$C$2=2,$B44&gt;=0),OFFSET('Input data (2)'!AU$126,'Input data (2)'!$BL$1-$B44,0),IF(AND('Input data (2)'!$C$2=1,$A44&gt;=0),OFFSET('Input data (2)'!AU$126,'Input data (2)'!$BL$1-$A44,0),""))))</f>
        <v>7</v>
      </c>
      <c r="BK65" s="1">
        <f ca="1">IF(AND('Input data (2)'!$C$2=4,$D44&gt;=0),OFFSET('Input data (2)'!AV$126,'Input data (2)'!$BL$1-$D44,0),IF(AND('Input data (2)'!$C$2=3,$C44&gt;=0),OFFSET('Input data (2)'!AV$126,'Input data (2)'!$BL$1-$C44,0),IF(AND('Input data (2)'!$C$2=2,$B44&gt;=0),OFFSET('Input data (2)'!AV$126,'Input data (2)'!$BL$1-$B44,0),IF(AND('Input data (2)'!$C$2=1,$A44&gt;=0),OFFSET('Input data (2)'!AV$126,'Input data (2)'!$BL$1-$A44,0),""))))</f>
        <v>0</v>
      </c>
      <c r="BL65" s="1">
        <f ca="1">IF(AND('Input data (2)'!$C$2=4,$D44&gt;=0),OFFSET('Input data (2)'!AW$126,'Input data (2)'!$BL$1-$D44,0),IF(AND('Input data (2)'!$C$2=3,$C44&gt;=0),OFFSET('Input data (2)'!AW$126,'Input data (2)'!$BL$1-$C44,0),IF(AND('Input data (2)'!$C$2=2,$B44&gt;=0),OFFSET('Input data (2)'!AW$126,'Input data (2)'!$BL$1-$B44,0),IF(AND('Input data (2)'!$C$2=1,$A44&gt;=0),OFFSET('Input data (2)'!AW$126,'Input data (2)'!$BL$1-$A44,0),""))))</f>
        <v>42</v>
      </c>
      <c r="BM65" s="1">
        <f ca="1">IF(AND('Input data (2)'!$C$2=4,$D44&gt;=0),OFFSET('Input data (2)'!AX$126,'Input data (2)'!$BL$1-$D44,0),IF(AND('Input data (2)'!$C$2=3,$C44&gt;=0),OFFSET('Input data (2)'!AX$126,'Input data (2)'!$BL$1-$C44,0),IF(AND('Input data (2)'!$C$2=2,$B44&gt;=0),OFFSET('Input data (2)'!AX$126,'Input data (2)'!$BL$1-$B44,0),IF(AND('Input data (2)'!$C$2=1,$A44&gt;=0),OFFSET('Input data (2)'!AX$126,'Input data (2)'!$BL$1-$A44,0),""))))</f>
        <v>2</v>
      </c>
      <c r="BO65" s="1">
        <f ca="1">IF(AND('Input data (2)'!$C$2=4,$D44&gt;=0),OFFSET('Input data (2)'!BL$126,'Input data (2)'!$BL$1-$D44,0),IF(AND('Input data (2)'!$C$2=3,$C44&gt;=0),OFFSET('Input data (2)'!BL$126,'Input data (2)'!$BL$1-$C44,0),IF(AND('Input data (2)'!$C$2=2,$B44&gt;=0),OFFSET('Input data (2)'!BL$126,'Input data (2)'!$BL$1-$B44,0),IF(AND('Input data (2)'!$C$2=1,$A44&gt;=0),OFFSET('Input data (2)'!BL$126,'Input data (2)'!$BL$1-$A44,0),""))))</f>
        <v>836</v>
      </c>
      <c r="BP65" s="1">
        <f ca="1">IF(AND('Input data (2)'!$C$2=4,$D44&gt;=0),OFFSET('Input data (2)'!BI$126,'Input data (2)'!$BL$1-$D44,0),IF(AND('Input data (2)'!$C$2=3,$C44&gt;=0),OFFSET('Input data (2)'!BI$126,'Input data (2)'!$BL$1-$C44,0),IF(AND('Input data (2)'!$C$2=2,$B44&gt;=0),OFFSET('Input data (2)'!BI$126,'Input data (2)'!$BL$1-$B44,0),IF(AND('Input data (2)'!$C$2=1,$A44&gt;=0),OFFSET('Input data (2)'!BI$126,'Input data (2)'!$BL$1-$A44,0),""))))</f>
        <v>328</v>
      </c>
      <c r="BQ65" s="1">
        <f ca="1">IF(AND('Input data (2)'!$C$2=4,$D44&gt;=0),OFFSET('Input data (2)'!BK$126,'Input data (2)'!$BL$1-$D44,0),IF(AND('Input data (2)'!$C$2=3,$C44&gt;=0),OFFSET('Input data (2)'!BK$126,'Input data (2)'!$BL$1-$C44,0),IF(AND('Input data (2)'!$C$2=2,$B44&gt;=0),OFFSET('Input data (2)'!BK$126,'Input data (2)'!$BL$1-$B44,0),IF(AND('Input data (2)'!$C$2=1,$A44&gt;=0),OFFSET('Input data (2)'!BK$126,'Input data (2)'!$BL$1-$A44,0),""))))</f>
        <v>119</v>
      </c>
      <c r="BR65" s="1">
        <f ca="1">IF(AND('Input data (2)'!$C$2=4,$D44&gt;=0),OFFSET('Input data (2)'!BJ$126,'Input data (2)'!$BL$1-$D44,0),IF(AND('Input data (2)'!$C$2=3,$C44&gt;=0),OFFSET('Input data (2)'!BJ$126,'Input data (2)'!$BL$1-$C44,0),IF(AND('Input data (2)'!$C$2=2,$B44&gt;=0),OFFSET('Input data (2)'!BJ$126,'Input data (2)'!$BL$1-$B44,0),IF(AND('Input data (2)'!$C$2=1,$A44&gt;=0),OFFSET('Input data (2)'!BJ$126,'Input data (2)'!$BL$1-$A44,0),""))))</f>
        <v>389</v>
      </c>
      <c r="BS65" s="1">
        <f ca="1">IF(AND('Input data (2)'!$C$2=4,$D44&gt;=0),OFFSET('Input data (2)'!BF$126,'Input data (2)'!$BL$1-$D44,0),IF(AND('Input data (2)'!$C$2=3,$C44&gt;=0),OFFSET('Input data (2)'!BF$126,'Input data (2)'!$BL$1-$C44,0),IF(AND('Input data (2)'!$C$2=2,$B44&gt;=0),OFFSET('Input data (2)'!BF$126,'Input data (2)'!$BL$1-$B44,0),IF(AND('Input data (2)'!$C$2=1,$A44&gt;=0),OFFSET('Input data (2)'!BF$126,'Input data (2)'!$BL$1-$A44,0),""))))</f>
        <v>55</v>
      </c>
      <c r="BT65" s="1">
        <f ca="1">IF(AND('Input data (2)'!$C$2=4,$D44&gt;=0),OFFSET('Input data (2)'!BD$126,'Input data (2)'!$BL$1-$D44,0),IF(AND('Input data (2)'!$C$2=3,$C44&gt;=0),OFFSET('Input data (2)'!BD$126,'Input data (2)'!$BL$1-$C44,0),IF(AND('Input data (2)'!$C$2=2,$B44&gt;=0),OFFSET('Input data (2)'!BD$126,'Input data (2)'!$BL$1-$B44,0),IF(AND('Input data (2)'!$C$2=1,$A44&gt;=0),OFFSET('Input data (2)'!BD$126,'Input data (2)'!$BL$1-$A44,0),""))))</f>
        <v>30</v>
      </c>
      <c r="BU65" s="1">
        <f ca="1">IF(AND('Input data (2)'!$C$2=4,$D44&gt;=0),OFFSET('Input data (2)'!BE$126,'Input data (2)'!$BL$1-$D44,0),IF(AND('Input data (2)'!$C$2=3,$C44&gt;=0),OFFSET('Input data (2)'!BE$126,'Input data (2)'!$BL$1-$C44,0),IF(AND('Input data (2)'!$C$2=2,$B44&gt;=0),OFFSET('Input data (2)'!BE$126,'Input data (2)'!$BL$1-$B44,0),IF(AND('Input data (2)'!$C$2=1,$A44&gt;=0),OFFSET('Input data (2)'!BE$126,'Input data (2)'!$BL$1-$A44,0),""))))</f>
        <v>25</v>
      </c>
      <c r="BW65" s="7">
        <f ca="1">IF(AND('Input data (2)'!$C$2=4,$D44&gt;=0),OFFSET('Input data (2)'!J$126,'Input data (2)'!$BL$1-$D44,0),IF(AND('Input data (2)'!$C$2=3,$C44&gt;=0),OFFSET('Input data (2)'!J$126,'Input data (2)'!$BL$1-$C44,0),IF(AND('Input data (2)'!$C$2=2,$B44&gt;=0),OFFSET('Input data (2)'!J$126,'Input data (2)'!$BL$1-$B44,0),IF(AND('Input data (2)'!$C$2=1,$A44&gt;=0),OFFSET('Input data (2)'!J$126,'Input data (2)'!$BL$1-$A44,0),""))))</f>
        <v>0.6520616479452177</v>
      </c>
      <c r="BX65" s="7">
        <f ca="1">IF(AND('Input data (2)'!$C$2=4,$D44&gt;=0),OFFSET('Input data (2)'!K$126,'Input data (2)'!$BL$1-$D44,0),IF(AND('Input data (2)'!$C$2=3,$C44&gt;=0),OFFSET('Input data (2)'!K$126,'Input data (2)'!$BL$1-$C44,0),IF(AND('Input data (2)'!$C$2=2,$B44&gt;=0),OFFSET('Input data (2)'!K$126,'Input data (2)'!$BL$1-$B44,0),IF(AND('Input data (2)'!$C$2=1,$A44&gt;=0),OFFSET('Input data (2)'!K$126,'Input data (2)'!$BL$1-$A44,0),""))))</f>
        <v>0.59584257688548681</v>
      </c>
      <c r="BY65" s="7">
        <f ca="1">IF(AND('Input data (2)'!$C$2=4,$D44&gt;=0),OFFSET('Input data (2)'!AS$126,'Input data (2)'!$BL$1-$D44,0),IF(AND('Input data (2)'!$C$2=3,$C44&gt;=0),OFFSET('Input data (2)'!AS$126,'Input data (2)'!$BL$1-$C44,0),IF(AND('Input data (2)'!$C$2=2,$B44&gt;=0),OFFSET('Input data (2)'!AS$126,'Input data (2)'!$BL$1-$B44,0),IF(AND('Input data (2)'!$C$2=1,$A44&gt;=0),OFFSET('Input data (2)'!AS$126,'Input data (2)'!$BL$1-$A44,0),""))))</f>
        <v>0.63648090727460238</v>
      </c>
      <c r="BZ65" s="7">
        <f ca="1">IF(AND('Input data (2)'!$C$2=4,$D44&gt;=0),OFFSET('Input data (2)'!AT$126,'Input data (2)'!$BL$1-$D44,0),IF(AND('Input data (2)'!$C$2=3,$C44&gt;=0),OFFSET('Input data (2)'!AT$126,'Input data (2)'!$BL$1-$C44,0),IF(AND('Input data (2)'!$C$2=2,$B44&gt;=0),OFFSET('Input data (2)'!AT$126,'Input data (2)'!$BL$1-$B44,0),IF(AND('Input data (2)'!$C$2=1,$A44&gt;=0),OFFSET('Input data (2)'!AT$126,'Input data (2)'!$BL$1-$A44,0),""))))</f>
        <v>0.57695482011813681</v>
      </c>
      <c r="CB65" s="122"/>
      <c r="CC65" s="122"/>
      <c r="CD65" s="122"/>
      <c r="CE65" s="122"/>
    </row>
    <row r="66" spans="5:83" x14ac:dyDescent="0.15">
      <c r="E66" s="1" t="str">
        <f>F66&amp;G61</f>
        <v>2013Q2</v>
      </c>
      <c r="F66" s="1">
        <f>F61+1</f>
        <v>2013</v>
      </c>
      <c r="G66" s="1" t="str">
        <f>IF(F66&amp;G61='Input data (2)'!$C$3,"p "&amp;'Output data - DO NOT TOUCH (2)'!G61,'Output data - DO NOT TOUCH (2)'!G61)</f>
        <v>p Q2</v>
      </c>
      <c r="H66" s="1">
        <f>VLOOKUP($E66,'Input data (2)'!$A:$BL,'Output data - DO NOT TOUCH (2)'!H$71,FALSE)</f>
        <v>4129</v>
      </c>
      <c r="I66" s="1">
        <f>VLOOKUP($E66,'Input data (2)'!$A:$BL,'Output data - DO NOT TOUCH (2)'!I$71,FALSE)</f>
        <v>1035</v>
      </c>
      <c r="J66" s="1">
        <f>VLOOKUP($E66,'Input data (2)'!$A:$BL,'Output data - DO NOT TOUCH (2)'!J$71,FALSE)</f>
        <v>3094</v>
      </c>
      <c r="K66" s="1">
        <f>VLOOKUP($E66,'Input data (2)'!$A:$BL,'Output data - DO NOT TOUCH (2)'!K$71,FALSE)</f>
        <v>3977.9030308069082</v>
      </c>
      <c r="L66" s="1">
        <f>VLOOKUP($E66,'Input data (2)'!$A:$BL,'Output data - DO NOT TOUCH (2)'!L$71,FALSE)</f>
        <v>961.00455272397801</v>
      </c>
      <c r="M66" s="1">
        <f>VLOOKUP($E66,'Input data (2)'!$A:$BL,'Output data - DO NOT TOUCH (2)'!M$71,FALSE)</f>
        <v>3016.8984780829301</v>
      </c>
      <c r="O66" s="119">
        <f ca="1">IF(AND('Input data (2)'!$C$2=4,$D45&gt;=0),OFFSET('Input data (2)'!O$126,'Input data (2)'!$BL$1-$D45,0),IF(AND('Input data (2)'!$C$2=3,$C45&gt;=0),OFFSET('Input data (2)'!O$126,'Input data (2)'!$BL$1-$C45,0),IF(AND('Input data (2)'!$C$2=2,$B45&gt;=0),OFFSET('Input data (2)'!O$126,'Input data (2)'!$BL$1-$B45,0),IF(AND('Input data (2)'!$C$2=1,$A45&gt;=0),OFFSET('Input data (2)'!O$126,'Input data (2)'!$BL$1-$A45,0),""))))</f>
        <v>245</v>
      </c>
      <c r="Q66" s="1">
        <f ca="1">IF(AND('Input data (2)'!$C$2=4,$D45&gt;=0),OFFSET('Input data (2)'!AC$126,'Input data (2)'!$BL$1-$D45,0),IF(AND('Input data (2)'!$C$2=3,$C45&gt;=0),OFFSET('Input data (2)'!AC$126,'Input data (2)'!$BL$1-$C45,0),IF(AND('Input data (2)'!$C$2=2,$B45&gt;=0),OFFSET('Input data (2)'!AC$126,'Input data (2)'!$BL$1-$B45,0),IF(AND('Input data (2)'!$C$2=1,$A45&gt;=0),OFFSET('Input data (2)'!AC$126,'Input data (2)'!$BL$1-$A45,0),""))))</f>
        <v>25717</v>
      </c>
      <c r="R66" s="1">
        <f ca="1">IF(AND('Input data (2)'!$C$2=4,$D45&gt;=0),OFFSET('Input data (2)'!Q$126,'Input data (2)'!$BL$1-$D45,0),IF(AND('Input data (2)'!$C$2=3,$C45&gt;=0),OFFSET('Input data (2)'!Q$126,'Input data (2)'!$BL$1-$C45,0),IF(AND('Input data (2)'!$C$2=2,$B45&gt;=0),OFFSET('Input data (2)'!Q$126,'Input data (2)'!$BL$1-$B45,0),IF(AND('Input data (2)'!$C$2=1,$A45&gt;=0),OFFSET('Input data (2)'!Q$126,'Input data (2)'!$BL$1-$A45,0),""))))</f>
        <v>6469</v>
      </c>
      <c r="S66" s="1">
        <f ca="1">IF(AND('Input data (2)'!$C$2=4,$D45&gt;=0),OFFSET('Input data (2)'!R$126,'Input data (2)'!$BL$1-$D45,0),IF(AND('Input data (2)'!$C$2=3,$C45&gt;=0),OFFSET('Input data (2)'!R$126,'Input data (2)'!$BL$1-$C45,0),IF(AND('Input data (2)'!$C$2=2,$B45&gt;=0),OFFSET('Input data (2)'!R$126,'Input data (2)'!$BL$1-$B45,0),IF(AND('Input data (2)'!$C$2=1,$A45&gt;=0),OFFSET('Input data (2)'!R$126,'Input data (2)'!$BL$1-$A45,0),""))))</f>
        <v>7132</v>
      </c>
      <c r="T66" s="1">
        <f ca="1">IF(AND('Input data (2)'!$C$2=4,$D45&gt;=0),OFFSET('Input data (2)'!AA$126,'Input data (2)'!$BL$1-$D45,0),IF(AND('Input data (2)'!$C$2=3,$C45&gt;=0),OFFSET('Input data (2)'!AA$126,'Input data (2)'!$BL$1-$C45,0),IF(AND('Input data (2)'!$C$2=2,$B45&gt;=0),OFFSET('Input data (2)'!AA$126,'Input data (2)'!$BL$1-$B45,0),IF(AND('Input data (2)'!$C$2=1,$A45&gt;=0),OFFSET('Input data (2)'!AA$126,'Input data (2)'!$BL$1-$A45,0),""))))</f>
        <v>12116</v>
      </c>
      <c r="U66" s="1">
        <f ca="1">IF(AND('Input data (2)'!$C$2=4,$D45&gt;=0),OFFSET('Input data (2)'!AL$126,'Input data (2)'!$BL$1-$D45,0),IF(AND('Input data (2)'!$C$2=3,$C45&gt;=0),OFFSET('Input data (2)'!AL$126,'Input data (2)'!$BL$1-$C45,0),IF(AND('Input data (2)'!$C$2=2,$B45&gt;=0),OFFSET('Input data (2)'!AL$126,'Input data (2)'!$BL$1-$B45,0),IF(AND('Input data (2)'!$C$2=1,$A45&gt;=0),OFFSET('Input data (2)'!AL$126,'Input data (2)'!$BL$1-$A45,0),""))))</f>
        <v>18214.852896681899</v>
      </c>
      <c r="V66" s="1">
        <f ca="1">IF(AND('Input data (2)'!$C$2=4,$D45&gt;=0),OFFSET('Input data (2)'!AJ$126,'Input data (2)'!$BL$1-$D45,0),IF(AND('Input data (2)'!$C$2=3,$C45&gt;=0),OFFSET('Input data (2)'!AJ$126,'Input data (2)'!$BL$1-$C45,0),IF(AND('Input data (2)'!$C$2=2,$B45&gt;=0),OFFSET('Input data (2)'!AJ$126,'Input data (2)'!$BL$1-$B45,0),IF(AND('Input data (2)'!$C$2=1,$A45&gt;=0),OFFSET('Input data (2)'!AJ$126,'Input data (2)'!$BL$1-$A45,0),""))))</f>
        <v>6191.7959128950997</v>
      </c>
      <c r="W66" s="1">
        <f ca="1">IF(AND('Input data (2)'!$C$2=4,$D45&gt;=0),OFFSET('Input data (2)'!AK$126,'Input data (2)'!$BL$1-$D45,0),IF(AND('Input data (2)'!$C$2=3,$C45&gt;=0),OFFSET('Input data (2)'!AK$126,'Input data (2)'!$BL$1-$C45,0),IF(AND('Input data (2)'!$C$2=2,$B45&gt;=0),OFFSET('Input data (2)'!AK$126,'Input data (2)'!$BL$1-$B45,0),IF(AND('Input data (2)'!$C$2=1,$A45&gt;=0),OFFSET('Input data (2)'!AK$126,'Input data (2)'!$BL$1-$A45,0),""))))</f>
        <v>12023.056983786801</v>
      </c>
      <c r="Y66" s="1">
        <f ca="1">IF(AND('Input data (2)'!$C$2=4,$D45&gt;=0),OFFSET('Input data (2)'!Q$126,'Input data (2)'!$BL$1-$D45,0),IF(AND('Input data (2)'!$C$2=3,$C45&gt;=0),OFFSET('Input data (2)'!Q$126,'Input data (2)'!$BL$1-$C45,0),IF(AND('Input data (2)'!$C$2=2,$B45&gt;=0),OFFSET('Input data (2)'!Q$126,'Input data (2)'!$BL$1-$B45,0),IF(AND('Input data (2)'!$C$2=1,$A45&gt;=0),OFFSET('Input data (2)'!Q$126,'Input data (2)'!$BL$1-$A45,0),""))))</f>
        <v>6469</v>
      </c>
      <c r="Z66" s="1">
        <f ca="1">IF(AND('Input data (2)'!$C$2=4,$D45&gt;=0),OFFSET('Input data (2)'!S$126,'Input data (2)'!$BL$1-$D45,0),IF(AND('Input data (2)'!$C$2=3,$C45&gt;=0),OFFSET('Input data (2)'!S$126,'Input data (2)'!$BL$1-$C45,0),IF(AND('Input data (2)'!$C$2=2,$B45&gt;=0),OFFSET('Input data (2)'!S$126,'Input data (2)'!$BL$1-$B45,0),IF(AND('Input data (2)'!$C$2=1,$A45&gt;=0),OFFSET('Input data (2)'!S$126,'Input data (2)'!$BL$1-$A45,0),""))))</f>
        <v>5072</v>
      </c>
      <c r="AA66" s="1">
        <f ca="1">IF(AND('Input data (2)'!$C$2=4,$D45&gt;=0),OFFSET('Input data (2)'!T$126,'Input data (2)'!$BL$1-$D45,0),IF(AND('Input data (2)'!$C$2=3,$C45&gt;=0),OFFSET('Input data (2)'!T$126,'Input data (2)'!$BL$1-$C45,0),IF(AND('Input data (2)'!$C$2=2,$B45&gt;=0),OFFSET('Input data (2)'!T$126,'Input data (2)'!$BL$1-$B45,0),IF(AND('Input data (2)'!$C$2=1,$A45&gt;=0),OFFSET('Input data (2)'!T$126,'Input data (2)'!$BL$1-$A45,0),""))))</f>
        <v>78.404699335291397</v>
      </c>
      <c r="AB66" s="1">
        <f ca="1">IF(AND('Input data (2)'!$C$2=4,$D45&gt;=0),OFFSET('Input data (2)'!U$126,'Input data (2)'!$BL$1-$D45,0),IF(AND('Input data (2)'!$C$2=3,$C45&gt;=0),OFFSET('Input data (2)'!U$126,'Input data (2)'!$BL$1-$C45,0),IF(AND('Input data (2)'!$C$2=2,$B45&gt;=0),OFFSET('Input data (2)'!U$126,'Input data (2)'!$BL$1-$B45,0),IF(AND('Input data (2)'!$C$2=1,$A45&gt;=0),OFFSET('Input data (2)'!U$126,'Input data (2)'!$BL$1-$A45,0),""))))</f>
        <v>1397</v>
      </c>
      <c r="AC66" s="1">
        <f ca="1">IF(AND('Input data (2)'!$C$2=4,$D45&gt;=0),OFFSET('Input data (2)'!V$126,'Input data (2)'!$BL$1-$D45,0),IF(AND('Input data (2)'!$C$2=3,$C45&gt;=0),OFFSET('Input data (2)'!V$126,'Input data (2)'!$BL$1-$C45,0),IF(AND('Input data (2)'!$C$2=2,$B45&gt;=0),OFFSET('Input data (2)'!V$126,'Input data (2)'!$BL$1-$B45,0),IF(AND('Input data (2)'!$C$2=1,$A45&gt;=0),OFFSET('Input data (2)'!V$126,'Input data (2)'!$BL$1-$A45,0),""))))</f>
        <v>21.59530066470861</v>
      </c>
      <c r="AD66" s="1">
        <f ca="1">IF(AND('Input data (2)'!$C$2=4,$D45&gt;=0),OFFSET('Input data (2)'!Q$126,'Input data (2)'!$BL$1-$D45,0),IF(AND('Input data (2)'!$C$2=3,$C45&gt;=0),OFFSET('Input data (2)'!Q$126,'Input data (2)'!$BL$1-$C45,0),IF(AND('Input data (2)'!$C$2=2,$B45&gt;=0),OFFSET('Input data (2)'!Q$126,'Input data (2)'!$BL$1-$B45,0),IF(AND('Input data (2)'!$C$2=1,$A45&gt;=0),OFFSET('Input data (2)'!Q$126,'Input data (2)'!$BL$1-$A45,0),""))))</f>
        <v>6469</v>
      </c>
      <c r="AE66" s="1">
        <f ca="1">IF(AND('Input data (2)'!$C$2=4,$D45&gt;=0),OFFSET('Input data (2)'!W$126,'Input data (2)'!$BL$1-$D45,0),IF(AND('Input data (2)'!$C$2=3,$C45&gt;=0),OFFSET('Input data (2)'!W$126,'Input data (2)'!$BL$1-$C45,0),IF(AND('Input data (2)'!$C$2=2,$B45&gt;=0),OFFSET('Input data (2)'!W$126,'Input data (2)'!$BL$1-$B45,0),IF(AND('Input data (2)'!$C$2=1,$A45&gt;=0),OFFSET('Input data (2)'!W$126,'Input data (2)'!$BL$1-$A45,0),""))))</f>
        <v>0</v>
      </c>
      <c r="AF66" s="1">
        <f ca="1">IF(AND('Input data (2)'!$C$2=4,$D45&gt;=0),OFFSET('Input data (2)'!X$126,'Input data (2)'!$BL$1-$D45,0),IF(AND('Input data (2)'!$C$2=3,$C45&gt;=0),OFFSET('Input data (2)'!X$126,'Input data (2)'!$BL$1-$C45,0),IF(AND('Input data (2)'!$C$2=2,$B45&gt;=0),OFFSET('Input data (2)'!X$126,'Input data (2)'!$BL$1-$B45,0),IF(AND('Input data (2)'!$C$2=1,$A45&gt;=0),OFFSET('Input data (2)'!X$126,'Input data (2)'!$BL$1-$A45,0),""))))</f>
        <v>0</v>
      </c>
      <c r="AG66" s="1">
        <f ca="1">IF(AND('Input data (2)'!$C$2=4,$D45&gt;=0),OFFSET('Input data (2)'!Y$126,'Input data (2)'!$BL$1-$D45,0),IF(AND('Input data (2)'!$C$2=3,$C45&gt;=0),OFFSET('Input data (2)'!Y$126,'Input data (2)'!$BL$1-$C45,0),IF(AND('Input data (2)'!$C$2=2,$B45&gt;=0),OFFSET('Input data (2)'!Y$126,'Input data (2)'!$BL$1-$B45,0),IF(AND('Input data (2)'!$C$2=1,$A45&gt;=0),OFFSET('Input data (2)'!Y$126,'Input data (2)'!$BL$1-$A45,0),""))))</f>
        <v>0</v>
      </c>
      <c r="AH66" s="1">
        <f ca="1">IF(AND('Input data (2)'!$C$2=4,$D45&gt;=0),OFFSET('Input data (2)'!Z$126,'Input data (2)'!$BL$1-$D45,0),IF(AND('Input data (2)'!$C$2=3,$C45&gt;=0),OFFSET('Input data (2)'!Z$126,'Input data (2)'!$BL$1-$C45,0),IF(AND('Input data (2)'!$C$2=2,$B45&gt;=0),OFFSET('Input data (2)'!Z$126,'Input data (2)'!$BL$1-$B45,0),IF(AND('Input data (2)'!$C$2=1,$A45&gt;=0),OFFSET('Input data (2)'!Z$126,'Input data (2)'!$BL$1-$A45,0),""))))</f>
        <v>0</v>
      </c>
      <c r="AI66" s="3"/>
      <c r="AJ66" s="124">
        <f ca="1">IF(AND('Input data (2)'!$C$2=4,$D45&gt;=0),OFFSET('Input data (2)'!AF$126,'Input data (2)'!$BL$1-$D45,0),IF(AND('Input data (2)'!$C$2=3,$C45&gt;=0),OFFSET('Input data (2)'!AF$126,'Input data (2)'!$BL$1-$C45,0),IF(AND('Input data (2)'!$C$2=2,$B45&gt;=0),OFFSET('Input data (2)'!AF$126,'Input data (2)'!$BL$1-$B45,0),IF(AND('Input data (2)'!$C$2=1,$A45&gt;=0),OFFSET('Input data (2)'!AF$126,'Input data (2)'!$BL$1-$A45,0),""))))</f>
        <v>0</v>
      </c>
      <c r="AK66" s="124">
        <f ca="1">IF(AND('Input data (2)'!$C$2=4,$D45&gt;=0),OFFSET('Input data (2)'!AD$126,'Input data (2)'!$BL$1-$D45,0),IF(AND('Input data (2)'!$C$2=3,$C45&gt;=0),OFFSET('Input data (2)'!AD$126,'Input data (2)'!$BL$1-$C45,0),IF(AND('Input data (2)'!$C$2=2,$B45&gt;=0),OFFSET('Input data (2)'!AD$126,'Input data (2)'!$BL$1-$B45,0),IF(AND('Input data (2)'!$C$2=1,$A45&gt;=0),OFFSET('Input data (2)'!AD$126,'Input data (2)'!$BL$1-$A45,0),""))))</f>
        <v>0</v>
      </c>
      <c r="AL66" s="124">
        <f ca="1">IF(AND('Input data (2)'!$C$2=4,$D45&gt;=0),OFFSET('Input data (2)'!AE$126,'Input data (2)'!$BL$1-$D45,0),IF(AND('Input data (2)'!$C$2=3,$C45&gt;=0),OFFSET('Input data (2)'!AE$126,'Input data (2)'!$BL$1-$C45,0),IF(AND('Input data (2)'!$C$2=2,$B45&gt;=0),OFFSET('Input data (2)'!AE$126,'Input data (2)'!$BL$1-$B45,0),IF(AND('Input data (2)'!$C$2=1,$A45&gt;=0),OFFSET('Input data (2)'!AE$126,'Input data (2)'!$BL$1-$A45,0),""))))</f>
        <v>0</v>
      </c>
      <c r="AW66" s="1">
        <f ca="1">IF(AND('Input data (2)'!$C$2=4,$D45&gt;=0),OFFSET('Input data (2)'!L$126,'Input data (2)'!$BL$1-$D45,0),IF(AND('Input data (2)'!$C$2=3,$C45&gt;=0),OFFSET('Input data (2)'!L$126,'Input data (2)'!$BL$1-$C45,0),IF(AND('Input data (2)'!$C$2=2,$B45&gt;=0),OFFSET('Input data (2)'!L$126,'Input data (2)'!$BL$1-$B45,0),IF(AND('Input data (2)'!$C$2=1,$A45&gt;=0),OFFSET('Input data (2)'!L$126,'Input data (2)'!$BL$1-$A45,0),""))))</f>
        <v>192</v>
      </c>
      <c r="AX66" s="1">
        <f ca="1">IF(AND('Input data (2)'!$C$2=4,$D45&gt;=0),OFFSET('Input data (2)'!M$126,'Input data (2)'!$BL$1-$D45,0),IF(AND('Input data (2)'!$C$2=3,$C45&gt;=0),OFFSET('Input data (2)'!M$126,'Input data (2)'!$BL$1-$C45,0),IF(AND('Input data (2)'!$C$2=2,$B45&gt;=0),OFFSET('Input data (2)'!M$126,'Input data (2)'!$BL$1-$B45,0),IF(AND('Input data (2)'!$C$2=1,$A45&gt;=0),OFFSET('Input data (2)'!M$126,'Input data (2)'!$BL$1-$A45,0),""))))</f>
        <v>0</v>
      </c>
      <c r="AY66" s="1">
        <f ca="1">IF(AND('Input data (2)'!$C$2=4,$D45&gt;=0),OFFSET('Input data (2)'!N$126,'Input data (2)'!$BL$1-$D45,0),IF(AND('Input data (2)'!$C$2=3,$C45&gt;=0),OFFSET('Input data (2)'!N$126,'Input data (2)'!$BL$1-$C45,0),IF(AND('Input data (2)'!$C$2=2,$B45&gt;=0),OFFSET('Input data (2)'!N$126,'Input data (2)'!$BL$1-$B45,0),IF(AND('Input data (2)'!$C$2=1,$A45&gt;=0),OFFSET('Input data (2)'!N$126,'Input data (2)'!$BL$1-$A45,0),""))))</f>
        <v>622</v>
      </c>
      <c r="AZ66" s="1">
        <f ca="1">IF(AND('Input data (2)'!$C$2=4,$D45&gt;=0),OFFSET('Input data (2)'!P$126,'Input data (2)'!$BL$1-$D45,0),IF(AND('Input data (2)'!$C$2=3,$C45&gt;=0),OFFSET('Input data (2)'!P$126,'Input data (2)'!$BL$1-$C45,0),IF(AND('Input data (2)'!$C$2=2,$B45&gt;=0),OFFSET('Input data (2)'!P$126,'Input data (2)'!$BL$1-$B45,0),IF(AND('Input data (2)'!$C$2=1,$A45&gt;=0),OFFSET('Input data (2)'!P$126,'Input data (2)'!$BL$1-$A45,0),""))))</f>
        <v>160</v>
      </c>
      <c r="BB66" s="1">
        <f ca="1">IF(AND('Input data (2)'!$C$2=4,$D45&gt;=0),OFFSET('Input data (2)'!BB$126,'Input data (2)'!$BL$1-$D45,0),IF(AND('Input data (2)'!$C$2=3,$C45&gt;=0),OFFSET('Input data (2)'!BB$126,'Input data (2)'!$BL$1-$C45,0),IF(AND('Input data (2)'!$C$2=2,$B45&gt;=0),OFFSET('Input data (2)'!BB$126,'Input data (2)'!$BL$1-$B45,0),IF(AND('Input data (2)'!$C$2=1,$A45&gt;=0),OFFSET('Input data (2)'!BB$126,'Input data (2)'!$BL$1-$A45,0),""))))</f>
        <v>3999</v>
      </c>
      <c r="BC66" s="1">
        <f ca="1">IF(AND('Input data (2)'!$C$2=4,$D45&gt;=0),OFFSET('Input data (2)'!AY$126,'Input data (2)'!$BL$1-$D45,0),IF(AND('Input data (2)'!$C$2=3,$C45&gt;=0),OFFSET('Input data (2)'!AY$126,'Input data (2)'!$BL$1-$C45,0),IF(AND('Input data (2)'!$C$2=2,$B45&gt;=0),OFFSET('Input data (2)'!AY$126,'Input data (2)'!$BL$1-$B45,0),IF(AND('Input data (2)'!$C$2=1,$A45&gt;=0),OFFSET('Input data (2)'!AY$126,'Input data (2)'!$BL$1-$A45,0),""))))</f>
        <v>1961</v>
      </c>
      <c r="BD66" s="1">
        <f ca="1">IF(AND('Input data (2)'!$C$2=4,$D45&gt;=0),OFFSET('Input data (2)'!AZ$126,'Input data (2)'!$BL$1-$D45,0),IF(AND('Input data (2)'!$C$2=3,$C45&gt;=0),OFFSET('Input data (2)'!AZ$126,'Input data (2)'!$BL$1-$C45,0),IF(AND('Input data (2)'!$C$2=2,$B45&gt;=0),OFFSET('Input data (2)'!AZ$126,'Input data (2)'!$BL$1-$B45,0),IF(AND('Input data (2)'!$C$2=1,$A45&gt;=0),OFFSET('Input data (2)'!AZ$126,'Input data (2)'!$BL$1-$A45,0),""))))</f>
        <v>742</v>
      </c>
      <c r="BE66" s="1">
        <f ca="1">IF(AND('Input data (2)'!$C$2=4,$D45&gt;=0),OFFSET('Input data (2)'!BA$126,'Input data (2)'!$BL$1-$D45,0),IF(AND('Input data (2)'!$C$2=3,$C45&gt;=0),OFFSET('Input data (2)'!BA$126,'Input data (2)'!$BL$1-$C45,0),IF(AND('Input data (2)'!$C$2=2,$B45&gt;=0),OFFSET('Input data (2)'!BA$126,'Input data (2)'!$BL$1-$B45,0),IF(AND('Input data (2)'!$C$2=1,$A45&gt;=0),OFFSET('Input data (2)'!BA$126,'Input data (2)'!$BL$1-$A45,0),""))))</f>
        <v>2038</v>
      </c>
      <c r="BF66" s="1">
        <f ca="1">IF(AND('Input data (2)'!$C$2=4,$D45&gt;=0),OFFSET('Input data (2)'!AP$126,'Input data (2)'!$BL$1-$D45,0),IF(AND('Input data (2)'!$C$2=3,$C45&gt;=0),OFFSET('Input data (2)'!AP$126,'Input data (2)'!$BL$1-$C45,0),IF(AND('Input data (2)'!$C$2=2,$B45&gt;=0),OFFSET('Input data (2)'!AP$126,'Input data (2)'!$BL$1-$B45,0),IF(AND('Input data (2)'!$C$2=1,$A45&gt;=0),OFFSET('Input data (2)'!AP$126,'Input data (2)'!$BL$1-$A45,0),""))))</f>
        <v>158</v>
      </c>
      <c r="BG66" s="1">
        <f ca="1">IF(AND('Input data (2)'!$C$2=4,$D45&gt;=0),OFFSET('Input data (2)'!AN$126,'Input data (2)'!$BL$1-$D45,0),IF(AND('Input data (2)'!$C$2=3,$C45&gt;=0),OFFSET('Input data (2)'!AN$126,'Input data (2)'!$BL$1-$C45,0),IF(AND('Input data (2)'!$C$2=2,$B45&gt;=0),OFFSET('Input data (2)'!AN$126,'Input data (2)'!$BL$1-$B45,0),IF(AND('Input data (2)'!$C$2=1,$A45&gt;=0),OFFSET('Input data (2)'!AN$126,'Input data (2)'!$BL$1-$A45,0),""))))</f>
        <v>83</v>
      </c>
      <c r="BH66" s="1">
        <f ca="1">IF(AND('Input data (2)'!$C$2=4,$D45&gt;=0),OFFSET('Input data (2)'!AO$126,'Input data (2)'!$BL$1-$D45,0),IF(AND('Input data (2)'!$C$2=3,$C45&gt;=0),OFFSET('Input data (2)'!AO$126,'Input data (2)'!$BL$1-$C45,0),IF(AND('Input data (2)'!$C$2=2,$B45&gt;=0),OFFSET('Input data (2)'!AO$126,'Input data (2)'!$BL$1-$B45,0),IF(AND('Input data (2)'!$C$2=1,$A45&gt;=0),OFFSET('Input data (2)'!AO$126,'Input data (2)'!$BL$1-$A45,0),""))))</f>
        <v>75</v>
      </c>
      <c r="BJ66" s="1">
        <f ca="1">IF(AND('Input data (2)'!$C$2=4,$D45&gt;=0),OFFSET('Input data (2)'!AU$126,'Input data (2)'!$BL$1-$D45,0),IF(AND('Input data (2)'!$C$2=3,$C45&gt;=0),OFFSET('Input data (2)'!AU$126,'Input data (2)'!$BL$1-$C45,0),IF(AND('Input data (2)'!$C$2=2,$B45&gt;=0),OFFSET('Input data (2)'!AU$126,'Input data (2)'!$BL$1-$B45,0),IF(AND('Input data (2)'!$C$2=1,$A45&gt;=0),OFFSET('Input data (2)'!AU$126,'Input data (2)'!$BL$1-$A45,0),""))))</f>
        <v>1</v>
      </c>
      <c r="BK66" s="1">
        <f ca="1">IF(AND('Input data (2)'!$C$2=4,$D45&gt;=0),OFFSET('Input data (2)'!AV$126,'Input data (2)'!$BL$1-$D45,0),IF(AND('Input data (2)'!$C$2=3,$C45&gt;=0),OFFSET('Input data (2)'!AV$126,'Input data (2)'!$BL$1-$C45,0),IF(AND('Input data (2)'!$C$2=2,$B45&gt;=0),OFFSET('Input data (2)'!AV$126,'Input data (2)'!$BL$1-$B45,0),IF(AND('Input data (2)'!$C$2=1,$A45&gt;=0),OFFSET('Input data (2)'!AV$126,'Input data (2)'!$BL$1-$A45,0),""))))</f>
        <v>0</v>
      </c>
      <c r="BL66" s="1">
        <f ca="1">IF(AND('Input data (2)'!$C$2=4,$D45&gt;=0),OFFSET('Input data (2)'!AW$126,'Input data (2)'!$BL$1-$D45,0),IF(AND('Input data (2)'!$C$2=3,$C45&gt;=0),OFFSET('Input data (2)'!AW$126,'Input data (2)'!$BL$1-$C45,0),IF(AND('Input data (2)'!$C$2=2,$B45&gt;=0),OFFSET('Input data (2)'!AW$126,'Input data (2)'!$BL$1-$B45,0),IF(AND('Input data (2)'!$C$2=1,$A45&gt;=0),OFFSET('Input data (2)'!AW$126,'Input data (2)'!$BL$1-$A45,0),""))))</f>
        <v>35</v>
      </c>
      <c r="BM66" s="1">
        <f ca="1">IF(AND('Input data (2)'!$C$2=4,$D45&gt;=0),OFFSET('Input data (2)'!AX$126,'Input data (2)'!$BL$1-$D45,0),IF(AND('Input data (2)'!$C$2=3,$C45&gt;=0),OFFSET('Input data (2)'!AX$126,'Input data (2)'!$BL$1-$C45,0),IF(AND('Input data (2)'!$C$2=2,$B45&gt;=0),OFFSET('Input data (2)'!AX$126,'Input data (2)'!$BL$1-$B45,0),IF(AND('Input data (2)'!$C$2=1,$A45&gt;=0),OFFSET('Input data (2)'!AX$126,'Input data (2)'!$BL$1-$A45,0),""))))</f>
        <v>3</v>
      </c>
      <c r="BO66" s="1">
        <f ca="1">IF(AND('Input data (2)'!$C$2=4,$D45&gt;=0),OFFSET('Input data (2)'!BL$126,'Input data (2)'!$BL$1-$D45,0),IF(AND('Input data (2)'!$C$2=3,$C45&gt;=0),OFFSET('Input data (2)'!BL$126,'Input data (2)'!$BL$1-$C45,0),IF(AND('Input data (2)'!$C$2=2,$B45&gt;=0),OFFSET('Input data (2)'!BL$126,'Input data (2)'!$BL$1-$B45,0),IF(AND('Input data (2)'!$C$2=1,$A45&gt;=0),OFFSET('Input data (2)'!BL$126,'Input data (2)'!$BL$1-$A45,0),""))))</f>
        <v>894</v>
      </c>
      <c r="BP66" s="1">
        <f ca="1">IF(AND('Input data (2)'!$C$2=4,$D45&gt;=0),OFFSET('Input data (2)'!BI$126,'Input data (2)'!$BL$1-$D45,0),IF(AND('Input data (2)'!$C$2=3,$C45&gt;=0),OFFSET('Input data (2)'!BI$126,'Input data (2)'!$BL$1-$C45,0),IF(AND('Input data (2)'!$C$2=2,$B45&gt;=0),OFFSET('Input data (2)'!BI$126,'Input data (2)'!$BL$1-$B45,0),IF(AND('Input data (2)'!$C$2=1,$A45&gt;=0),OFFSET('Input data (2)'!BI$126,'Input data (2)'!$BL$1-$A45,0),""))))</f>
        <v>374</v>
      </c>
      <c r="BQ66" s="1">
        <f ca="1">IF(AND('Input data (2)'!$C$2=4,$D45&gt;=0),OFFSET('Input data (2)'!BK$126,'Input data (2)'!$BL$1-$D45,0),IF(AND('Input data (2)'!$C$2=3,$C45&gt;=0),OFFSET('Input data (2)'!BK$126,'Input data (2)'!$BL$1-$C45,0),IF(AND('Input data (2)'!$C$2=2,$B45&gt;=0),OFFSET('Input data (2)'!BK$126,'Input data (2)'!$BL$1-$B45,0),IF(AND('Input data (2)'!$C$2=1,$A45&gt;=0),OFFSET('Input data (2)'!BK$126,'Input data (2)'!$BL$1-$A45,0),""))))</f>
        <v>167</v>
      </c>
      <c r="BR66" s="1">
        <f ca="1">IF(AND('Input data (2)'!$C$2=4,$D45&gt;=0),OFFSET('Input data (2)'!BJ$126,'Input data (2)'!$BL$1-$D45,0),IF(AND('Input data (2)'!$C$2=3,$C45&gt;=0),OFFSET('Input data (2)'!BJ$126,'Input data (2)'!$BL$1-$C45,0),IF(AND('Input data (2)'!$C$2=2,$B45&gt;=0),OFFSET('Input data (2)'!BJ$126,'Input data (2)'!$BL$1-$B45,0),IF(AND('Input data (2)'!$C$2=1,$A45&gt;=0),OFFSET('Input data (2)'!BJ$126,'Input data (2)'!$BL$1-$A45,0),""))))</f>
        <v>353</v>
      </c>
      <c r="BS66" s="1">
        <f ca="1">IF(AND('Input data (2)'!$C$2=4,$D45&gt;=0),OFFSET('Input data (2)'!BF$126,'Input data (2)'!$BL$1-$D45,0),IF(AND('Input data (2)'!$C$2=3,$C45&gt;=0),OFFSET('Input data (2)'!BF$126,'Input data (2)'!$BL$1-$C45,0),IF(AND('Input data (2)'!$C$2=2,$B45&gt;=0),OFFSET('Input data (2)'!BF$126,'Input data (2)'!$BL$1-$B45,0),IF(AND('Input data (2)'!$C$2=1,$A45&gt;=0),OFFSET('Input data (2)'!BF$126,'Input data (2)'!$BL$1-$A45,0),""))))</f>
        <v>105</v>
      </c>
      <c r="BT66" s="1">
        <f ca="1">IF(AND('Input data (2)'!$C$2=4,$D45&gt;=0),OFFSET('Input data (2)'!BD$126,'Input data (2)'!$BL$1-$D45,0),IF(AND('Input data (2)'!$C$2=3,$C45&gt;=0),OFFSET('Input data (2)'!BD$126,'Input data (2)'!$BL$1-$C45,0),IF(AND('Input data (2)'!$C$2=2,$B45&gt;=0),OFFSET('Input data (2)'!BD$126,'Input data (2)'!$BL$1-$B45,0),IF(AND('Input data (2)'!$C$2=1,$A45&gt;=0),OFFSET('Input data (2)'!BD$126,'Input data (2)'!$BL$1-$A45,0),""))))</f>
        <v>66</v>
      </c>
      <c r="BU66" s="1">
        <f ca="1">IF(AND('Input data (2)'!$C$2=4,$D45&gt;=0),OFFSET('Input data (2)'!BE$126,'Input data (2)'!$BL$1-$D45,0),IF(AND('Input data (2)'!$C$2=3,$C45&gt;=0),OFFSET('Input data (2)'!BE$126,'Input data (2)'!$BL$1-$C45,0),IF(AND('Input data (2)'!$C$2=2,$B45&gt;=0),OFFSET('Input data (2)'!BE$126,'Input data (2)'!$BL$1-$B45,0),IF(AND('Input data (2)'!$C$2=1,$A45&gt;=0),OFFSET('Input data (2)'!BE$126,'Input data (2)'!$BL$1-$A45,0),""))))</f>
        <v>39</v>
      </c>
      <c r="BW66" s="7">
        <f ca="1">IF(AND('Input data (2)'!$C$2=4,$D45&gt;=0),OFFSET('Input data (2)'!J$126,'Input data (2)'!$BL$1-$D45,0),IF(AND('Input data (2)'!$C$2=3,$C45&gt;=0),OFFSET('Input data (2)'!J$126,'Input data (2)'!$BL$1-$C45,0),IF(AND('Input data (2)'!$C$2=2,$B45&gt;=0),OFFSET('Input data (2)'!J$126,'Input data (2)'!$BL$1-$B45,0),IF(AND('Input data (2)'!$C$2=1,$A45&gt;=0),OFFSET('Input data (2)'!J$126,'Input data (2)'!$BL$1-$A45,0),""))))</f>
        <v>0.64329992913627787</v>
      </c>
      <c r="BX66" s="7">
        <f ca="1">IF(AND('Input data (2)'!$C$2=4,$D45&gt;=0),OFFSET('Input data (2)'!K$126,'Input data (2)'!$BL$1-$D45,0),IF(AND('Input data (2)'!$C$2=3,$C45&gt;=0),OFFSET('Input data (2)'!K$126,'Input data (2)'!$BL$1-$C45,0),IF(AND('Input data (2)'!$C$2=2,$B45&gt;=0),OFFSET('Input data (2)'!K$126,'Input data (2)'!$BL$1-$B45,0),IF(AND('Input data (2)'!$C$2=1,$A45&gt;=0),OFFSET('Input data (2)'!K$126,'Input data (2)'!$BL$1-$A45,0),""))))</f>
        <v>0.58727327678188701</v>
      </c>
      <c r="BY66" s="7">
        <f ca="1">IF(AND('Input data (2)'!$C$2=4,$D45&gt;=0),OFFSET('Input data (2)'!AS$126,'Input data (2)'!$BL$1-$D45,0),IF(AND('Input data (2)'!$C$2=3,$C45&gt;=0),OFFSET('Input data (2)'!AS$126,'Input data (2)'!$BL$1-$C45,0),IF(AND('Input data (2)'!$C$2=2,$B45&gt;=0),OFFSET('Input data (2)'!AS$126,'Input data (2)'!$BL$1-$B45,0),IF(AND('Input data (2)'!$C$2=1,$A45&gt;=0),OFFSET('Input data (2)'!AS$126,'Input data (2)'!$BL$1-$A45,0),""))))</f>
        <v>0.48415677425519821</v>
      </c>
      <c r="BZ66" s="7">
        <f ca="1">IF(AND('Input data (2)'!$C$2=4,$D45&gt;=0),OFFSET('Input data (2)'!AT$126,'Input data (2)'!$BL$1-$D45,0),IF(AND('Input data (2)'!$C$2=3,$C45&gt;=0),OFFSET('Input data (2)'!AT$126,'Input data (2)'!$BL$1-$C45,0),IF(AND('Input data (2)'!$C$2=2,$B45&gt;=0),OFFSET('Input data (2)'!AT$126,'Input data (2)'!$BL$1-$B45,0),IF(AND('Input data (2)'!$C$2=1,$A45&gt;=0),OFFSET('Input data (2)'!AT$126,'Input data (2)'!$BL$1-$A45,0),""))))</f>
        <v>0.4391921176572568</v>
      </c>
      <c r="CB66" s="122"/>
      <c r="CC66" s="122"/>
      <c r="CD66" s="122"/>
      <c r="CE66" s="122"/>
    </row>
    <row r="67" spans="5:83" x14ac:dyDescent="0.15">
      <c r="E67" s="1" t="str">
        <f>F67&amp;G62</f>
        <v>2013Q3</v>
      </c>
      <c r="F67" s="1">
        <f>F62+1</f>
        <v>2013</v>
      </c>
      <c r="G67" s="1" t="str">
        <f>IF(F67&amp;G62='Input data (2)'!$C$3,"p "&amp;'Output data - DO NOT TOUCH (2)'!G62,'Output data - DO NOT TOUCH (2)'!G62)</f>
        <v>Q3</v>
      </c>
      <c r="H67" s="1" t="str">
        <f ca="1">IF(AND('Input data (2)'!$C$2=4,$D46&gt;=0),OFFSET('Input data (2)'!F$126,'Input data (2)'!$BL$1-$D46,0),IF(AND('Input data (2)'!$C$2=3,$C46&gt;=0),OFFSET('Input data (2)'!F$126,'Input data (2)'!$BL$1-$C46,0),IF(AND('Input data (2)'!$C$2=2,$B46&gt;=0),OFFSET('Input data (2)'!F$126,'Input data (2)'!$BL$1-$B46,0),IF(AND('Input data (2)'!$C$2=1,$A46&gt;=0),OFFSET('Input data (2)'!F$126,'Input data (2)'!$BL$1-$A46,0),""))))</f>
        <v/>
      </c>
      <c r="I67" s="1" t="str">
        <f ca="1">IF(AND('Input data (2)'!$C$2=4,$D46&gt;=0),OFFSET('Input data (2)'!D$126,'Input data (2)'!$BL$1-$D46,0),IF(AND('Input data (2)'!$C$2=3,$C46&gt;=0),OFFSET('Input data (2)'!D$126,'Input data (2)'!$BL$1-$C46,0),IF(AND('Input data (2)'!$C$2=2,$B46&gt;=0),OFFSET('Input data (2)'!D$126,'Input data (2)'!$BL$1-$B46,0),IF(AND('Input data (2)'!$C$2=1,$A46&gt;=0),OFFSET('Input data (2)'!D$126,'Input data (2)'!$BL$1-$A46,0),""))))</f>
        <v/>
      </c>
      <c r="J67" s="1" t="str">
        <f ca="1">IF(AND('Input data (2)'!$C$2=4,$D46&gt;=0),OFFSET('Input data (2)'!E$126,'Input data (2)'!$BL$1-$D46,0),IF(AND('Input data (2)'!$C$2=3,$C46&gt;=0),OFFSET('Input data (2)'!E$126,'Input data (2)'!$BL$1-$C46,0),IF(AND('Input data (2)'!$C$2=2,$B46&gt;=0),OFFSET('Input data (2)'!E$126,'Input data (2)'!$BL$1-$B46,0),IF(AND('Input data (2)'!$C$2=1,$A46&gt;=0),OFFSET('Input data (2)'!E$126,'Input data (2)'!$BL$1-$A46,0),""))))</f>
        <v/>
      </c>
      <c r="K67" s="1" t="str">
        <f ca="1">IF(AND('Input data (2)'!$C$2=4,$D46&gt;=0),OFFSET('Input data (2)'!AI$126,'Input data (2)'!$BL$1-$D46,0),IF(AND('Input data (2)'!$C$2=3,$C46&gt;=0),OFFSET('Input data (2)'!AI$126,'Input data (2)'!$BL$1-$C46,0),IF(AND('Input data (2)'!$C$2=2,$B46&gt;=0),OFFSET('Input data (2)'!AI$126,'Input data (2)'!$BL$1-$B46,0),IF(AND('Input data (2)'!$C$2=1,$A46&gt;=0),OFFSET('Input data (2)'!AI$126,'Input data (2)'!$BL$1-$A46,0),""))))</f>
        <v/>
      </c>
      <c r="L67" s="1" t="str">
        <f ca="1">IF(AND('Input data (2)'!$C$2=4,$D46&gt;=0),OFFSET('Input data (2)'!AG$126,'Input data (2)'!$BL$1-$D46,0),IF(AND('Input data (2)'!$C$2=3,$C46&gt;=0),OFFSET('Input data (2)'!AG$126,'Input data (2)'!$BL$1-$C46,0),IF(AND('Input data (2)'!$C$2=2,$B46&gt;=0),OFFSET('Input data (2)'!AG$126,'Input data (2)'!$BL$1-$B46,0),IF(AND('Input data (2)'!$C$2=1,$A46&gt;=0),OFFSET('Input data (2)'!AG$126,'Input data (2)'!$BL$1-$A46,0),""))))</f>
        <v/>
      </c>
      <c r="M67" s="1" t="str">
        <f ca="1">IF(AND('Input data (2)'!$C$2=4,$D46&gt;=0),OFFSET('Input data (2)'!AH$126,'Input data (2)'!$BL$1-$D46,0),IF(AND('Input data (2)'!$C$2=3,$C46&gt;=0),OFFSET('Input data (2)'!AH$126,'Input data (2)'!$BL$1-$C46,0),IF(AND('Input data (2)'!$C$2=2,$B46&gt;=0),OFFSET('Input data (2)'!AH$126,'Input data (2)'!$BL$1-$B46,0),IF(AND('Input data (2)'!$C$2=1,$A46&gt;=0),OFFSET('Input data (2)'!AH$126,'Input data (2)'!$BL$1-$A46,0),""))))</f>
        <v/>
      </c>
      <c r="O67" s="119" t="str">
        <f ca="1">IF(AND('Input data (2)'!$C$2=4,$D46&gt;=0),OFFSET('Input data (2)'!O$126,'Input data (2)'!$BL$1-$D46,0),IF(AND('Input data (2)'!$C$2=3,$C46&gt;=0),OFFSET('Input data (2)'!O$126,'Input data (2)'!$BL$1-$C46,0),IF(AND('Input data (2)'!$C$2=2,$B46&gt;=0),OFFSET('Input data (2)'!O$126,'Input data (2)'!$BL$1-$B46,0),IF(AND('Input data (2)'!$C$2=1,$A46&gt;=0),OFFSET('Input data (2)'!O$126,'Input data (2)'!$BL$1-$A46,0),""))))</f>
        <v/>
      </c>
      <c r="Q67" s="1" t="str">
        <f ca="1">IF(AND('Input data (2)'!$C$2=4,$D46&gt;=0),OFFSET('Input data (2)'!AC$126,'Input data (2)'!$BL$1-$D46,0),IF(AND('Input data (2)'!$C$2=3,$C46&gt;=0),OFFSET('Input data (2)'!AC$126,'Input data (2)'!$BL$1-$C46,0),IF(AND('Input data (2)'!$C$2=2,$B46&gt;=0),OFFSET('Input data (2)'!AC$126,'Input data (2)'!$BL$1-$B46,0),IF(AND('Input data (2)'!$C$2=1,$A46&gt;=0),OFFSET('Input data (2)'!AC$126,'Input data (2)'!$BL$1-$A46,0),""))))</f>
        <v/>
      </c>
      <c r="R67" s="1" t="str">
        <f ca="1">IF(AND('Input data (2)'!$C$2=4,$D46&gt;=0),OFFSET('Input data (2)'!Q$126,'Input data (2)'!$BL$1-$D46,0),IF(AND('Input data (2)'!$C$2=3,$C46&gt;=0),OFFSET('Input data (2)'!Q$126,'Input data (2)'!$BL$1-$C46,0),IF(AND('Input data (2)'!$C$2=2,$B46&gt;=0),OFFSET('Input data (2)'!Q$126,'Input data (2)'!$BL$1-$B46,0),IF(AND('Input data (2)'!$C$2=1,$A46&gt;=0),OFFSET('Input data (2)'!Q$126,'Input data (2)'!$BL$1-$A46,0),""))))</f>
        <v/>
      </c>
      <c r="S67" s="1" t="str">
        <f ca="1">IF(AND('Input data (2)'!$C$2=4,$D46&gt;=0),OFFSET('Input data (2)'!R$126,'Input data (2)'!$BL$1-$D46,0),IF(AND('Input data (2)'!$C$2=3,$C46&gt;=0),OFFSET('Input data (2)'!R$126,'Input data (2)'!$BL$1-$C46,0),IF(AND('Input data (2)'!$C$2=2,$B46&gt;=0),OFFSET('Input data (2)'!R$126,'Input data (2)'!$BL$1-$B46,0),IF(AND('Input data (2)'!$C$2=1,$A46&gt;=0),OFFSET('Input data (2)'!R$126,'Input data (2)'!$BL$1-$A46,0),""))))</f>
        <v/>
      </c>
      <c r="T67" s="1" t="str">
        <f ca="1">IF(AND('Input data (2)'!$C$2=4,$D46&gt;=0),OFFSET('Input data (2)'!AA$126,'Input data (2)'!$BL$1-$D46,0),IF(AND('Input data (2)'!$C$2=3,$C46&gt;=0),OFFSET('Input data (2)'!AA$126,'Input data (2)'!$BL$1-$C46,0),IF(AND('Input data (2)'!$C$2=2,$B46&gt;=0),OFFSET('Input data (2)'!AA$126,'Input data (2)'!$BL$1-$B46,0),IF(AND('Input data (2)'!$C$2=1,$A46&gt;=0),OFFSET('Input data (2)'!AA$126,'Input data (2)'!$BL$1-$A46,0),""))))</f>
        <v/>
      </c>
      <c r="U67" s="1" t="str">
        <f ca="1">IF(AND('Input data (2)'!$C$2=4,$D46&gt;=0),OFFSET('Input data (2)'!AL$126,'Input data (2)'!$BL$1-$D46,0),IF(AND('Input data (2)'!$C$2=3,$C46&gt;=0),OFFSET('Input data (2)'!AL$126,'Input data (2)'!$BL$1-$C46,0),IF(AND('Input data (2)'!$C$2=2,$B46&gt;=0),OFFSET('Input data (2)'!AL$126,'Input data (2)'!$BL$1-$B46,0),IF(AND('Input data (2)'!$C$2=1,$A46&gt;=0),OFFSET('Input data (2)'!AL$126,'Input data (2)'!$BL$1-$A46,0),""))))</f>
        <v/>
      </c>
      <c r="V67" s="1" t="str">
        <f ca="1">IF(AND('Input data (2)'!$C$2=4,$D46&gt;=0),OFFSET('Input data (2)'!AJ$126,'Input data (2)'!$BL$1-$D46,0),IF(AND('Input data (2)'!$C$2=3,$C46&gt;=0),OFFSET('Input data (2)'!AJ$126,'Input data (2)'!$BL$1-$C46,0),IF(AND('Input data (2)'!$C$2=2,$B46&gt;=0),OFFSET('Input data (2)'!AJ$126,'Input data (2)'!$BL$1-$B46,0),IF(AND('Input data (2)'!$C$2=1,$A46&gt;=0),OFFSET('Input data (2)'!AJ$126,'Input data (2)'!$BL$1-$A46,0),""))))</f>
        <v/>
      </c>
      <c r="W67" s="1" t="str">
        <f ca="1">IF(AND('Input data (2)'!$C$2=4,$D46&gt;=0),OFFSET('Input data (2)'!AK$126,'Input data (2)'!$BL$1-$D46,0),IF(AND('Input data (2)'!$C$2=3,$C46&gt;=0),OFFSET('Input data (2)'!AK$126,'Input data (2)'!$BL$1-$C46,0),IF(AND('Input data (2)'!$C$2=2,$B46&gt;=0),OFFSET('Input data (2)'!AK$126,'Input data (2)'!$BL$1-$B46,0),IF(AND('Input data (2)'!$C$2=1,$A46&gt;=0),OFFSET('Input data (2)'!AK$126,'Input data (2)'!$BL$1-$A46,0),""))))</f>
        <v/>
      </c>
      <c r="Y67" s="1" t="str">
        <f ca="1">IF(AND('Input data (2)'!$C$2=4,$D46&gt;=0),OFFSET('Input data (2)'!Q$126,'Input data (2)'!$BL$1-$D46,0),IF(AND('Input data (2)'!$C$2=3,$C46&gt;=0),OFFSET('Input data (2)'!Q$126,'Input data (2)'!$BL$1-$C46,0),IF(AND('Input data (2)'!$C$2=2,$B46&gt;=0),OFFSET('Input data (2)'!Q$126,'Input data (2)'!$BL$1-$B46,0),IF(AND('Input data (2)'!$C$2=1,$A46&gt;=0),OFFSET('Input data (2)'!Q$126,'Input data (2)'!$BL$1-$A46,0),""))))</f>
        <v/>
      </c>
      <c r="Z67" s="1" t="str">
        <f ca="1">IF(AND('Input data (2)'!$C$2=4,$D46&gt;=0),OFFSET('Input data (2)'!S$126,'Input data (2)'!$BL$1-$D46,0),IF(AND('Input data (2)'!$C$2=3,$C46&gt;=0),OFFSET('Input data (2)'!S$126,'Input data (2)'!$BL$1-$C46,0),IF(AND('Input data (2)'!$C$2=2,$B46&gt;=0),OFFSET('Input data (2)'!S$126,'Input data (2)'!$BL$1-$B46,0),IF(AND('Input data (2)'!$C$2=1,$A46&gt;=0),OFFSET('Input data (2)'!S$126,'Input data (2)'!$BL$1-$A46,0),""))))</f>
        <v/>
      </c>
      <c r="AA67" s="1" t="str">
        <f ca="1">IF(AND('Input data (2)'!$C$2=4,$D46&gt;=0),OFFSET('Input data (2)'!T$126,'Input data (2)'!$BL$1-$D46,0),IF(AND('Input data (2)'!$C$2=3,$C46&gt;=0),OFFSET('Input data (2)'!T$126,'Input data (2)'!$BL$1-$C46,0),IF(AND('Input data (2)'!$C$2=2,$B46&gt;=0),OFFSET('Input data (2)'!T$126,'Input data (2)'!$BL$1-$B46,0),IF(AND('Input data (2)'!$C$2=1,$A46&gt;=0),OFFSET('Input data (2)'!T$126,'Input data (2)'!$BL$1-$A46,0),""))))</f>
        <v/>
      </c>
      <c r="AB67" s="1" t="str">
        <f ca="1">IF(AND('Input data (2)'!$C$2=4,$D46&gt;=0),OFFSET('Input data (2)'!U$126,'Input data (2)'!$BL$1-$D46,0),IF(AND('Input data (2)'!$C$2=3,$C46&gt;=0),OFFSET('Input data (2)'!U$126,'Input data (2)'!$BL$1-$C46,0),IF(AND('Input data (2)'!$C$2=2,$B46&gt;=0),OFFSET('Input data (2)'!U$126,'Input data (2)'!$BL$1-$B46,0),IF(AND('Input data (2)'!$C$2=1,$A46&gt;=0),OFFSET('Input data (2)'!U$126,'Input data (2)'!$BL$1-$A46,0),""))))</f>
        <v/>
      </c>
      <c r="AC67" s="1" t="str">
        <f ca="1">IF(AND('Input data (2)'!$C$2=4,$D46&gt;=0),OFFSET('Input data (2)'!V$126,'Input data (2)'!$BL$1-$D46,0),IF(AND('Input data (2)'!$C$2=3,$C46&gt;=0),OFFSET('Input data (2)'!V$126,'Input data (2)'!$BL$1-$C46,0),IF(AND('Input data (2)'!$C$2=2,$B46&gt;=0),OFFSET('Input data (2)'!V$126,'Input data (2)'!$BL$1-$B46,0),IF(AND('Input data (2)'!$C$2=1,$A46&gt;=0),OFFSET('Input data (2)'!V$126,'Input data (2)'!$BL$1-$A46,0),""))))</f>
        <v/>
      </c>
      <c r="AD67" s="1" t="str">
        <f ca="1">IF(AND('Input data (2)'!$C$2=4,$D46&gt;=0),OFFSET('Input data (2)'!Q$126,'Input data (2)'!$BL$1-$D46,0),IF(AND('Input data (2)'!$C$2=3,$C46&gt;=0),OFFSET('Input data (2)'!Q$126,'Input data (2)'!$BL$1-$C46,0),IF(AND('Input data (2)'!$C$2=2,$B46&gt;=0),OFFSET('Input data (2)'!Q$126,'Input data (2)'!$BL$1-$B46,0),IF(AND('Input data (2)'!$C$2=1,$A46&gt;=0),OFFSET('Input data (2)'!Q$126,'Input data (2)'!$BL$1-$A46,0),""))))</f>
        <v/>
      </c>
      <c r="AE67" s="1" t="str">
        <f ca="1">IF(AND('Input data (2)'!$C$2=4,$D46&gt;=0),OFFSET('Input data (2)'!W$126,'Input data (2)'!$BL$1-$D46,0),IF(AND('Input data (2)'!$C$2=3,$C46&gt;=0),OFFSET('Input data (2)'!W$126,'Input data (2)'!$BL$1-$C46,0),IF(AND('Input data (2)'!$C$2=2,$B46&gt;=0),OFFSET('Input data (2)'!W$126,'Input data (2)'!$BL$1-$B46,0),IF(AND('Input data (2)'!$C$2=1,$A46&gt;=0),OFFSET('Input data (2)'!W$126,'Input data (2)'!$BL$1-$A46,0),""))))</f>
        <v/>
      </c>
      <c r="AF67" s="1" t="str">
        <f ca="1">IF(AND('Input data (2)'!$C$2=4,$D46&gt;=0),OFFSET('Input data (2)'!X$126,'Input data (2)'!$BL$1-$D46,0),IF(AND('Input data (2)'!$C$2=3,$C46&gt;=0),OFFSET('Input data (2)'!X$126,'Input data (2)'!$BL$1-$C46,0),IF(AND('Input data (2)'!$C$2=2,$B46&gt;=0),OFFSET('Input data (2)'!X$126,'Input data (2)'!$BL$1-$B46,0),IF(AND('Input data (2)'!$C$2=1,$A46&gt;=0),OFFSET('Input data (2)'!X$126,'Input data (2)'!$BL$1-$A46,0),""))))</f>
        <v/>
      </c>
      <c r="AG67" s="1" t="str">
        <f ca="1">IF(AND('Input data (2)'!$C$2=4,$D46&gt;=0),OFFSET('Input data (2)'!Y$126,'Input data (2)'!$BL$1-$D46,0),IF(AND('Input data (2)'!$C$2=3,$C46&gt;=0),OFFSET('Input data (2)'!Y$126,'Input data (2)'!$BL$1-$C46,0),IF(AND('Input data (2)'!$C$2=2,$B46&gt;=0),OFFSET('Input data (2)'!Y$126,'Input data (2)'!$BL$1-$B46,0),IF(AND('Input data (2)'!$C$2=1,$A46&gt;=0),OFFSET('Input data (2)'!Y$126,'Input data (2)'!$BL$1-$A46,0),""))))</f>
        <v/>
      </c>
      <c r="AH67" s="1" t="str">
        <f ca="1">IF(AND('Input data (2)'!$C$2=4,$D46&gt;=0),OFFSET('Input data (2)'!Z$126,'Input data (2)'!$BL$1-$D46,0),IF(AND('Input data (2)'!$C$2=3,$C46&gt;=0),OFFSET('Input data (2)'!Z$126,'Input data (2)'!$BL$1-$C46,0),IF(AND('Input data (2)'!$C$2=2,$B46&gt;=0),OFFSET('Input data (2)'!Z$126,'Input data (2)'!$BL$1-$B46,0),IF(AND('Input data (2)'!$C$2=1,$A46&gt;=0),OFFSET('Input data (2)'!Z$126,'Input data (2)'!$BL$1-$A46,0),""))))</f>
        <v/>
      </c>
      <c r="AI67" s="3"/>
      <c r="AJ67" s="124" t="str">
        <f ca="1">IF(AND('Input data (2)'!$C$2=4,$D46&gt;=0),OFFSET('Input data (2)'!AF$126,'Input data (2)'!$BL$1-$D46,0),IF(AND('Input data (2)'!$C$2=3,$C46&gt;=0),OFFSET('Input data (2)'!AF$126,'Input data (2)'!$BL$1-$C46,0),IF(AND('Input data (2)'!$C$2=2,$B46&gt;=0),OFFSET('Input data (2)'!AF$126,'Input data (2)'!$BL$1-$B46,0),IF(AND('Input data (2)'!$C$2=1,$A46&gt;=0),OFFSET('Input data (2)'!AF$126,'Input data (2)'!$BL$1-$A46,0),""))))</f>
        <v/>
      </c>
      <c r="AK67" s="124" t="str">
        <f ca="1">IF(AND('Input data (2)'!$C$2=4,$D46&gt;=0),OFFSET('Input data (2)'!AD$126,'Input data (2)'!$BL$1-$D46,0),IF(AND('Input data (2)'!$C$2=3,$C46&gt;=0),OFFSET('Input data (2)'!AD$126,'Input data (2)'!$BL$1-$C46,0),IF(AND('Input data (2)'!$C$2=2,$B46&gt;=0),OFFSET('Input data (2)'!AD$126,'Input data (2)'!$BL$1-$B46,0),IF(AND('Input data (2)'!$C$2=1,$A46&gt;=0),OFFSET('Input data (2)'!AD$126,'Input data (2)'!$BL$1-$A46,0),""))))</f>
        <v/>
      </c>
      <c r="AL67" s="124" t="str">
        <f ca="1">IF(AND('Input data (2)'!$C$2=4,$D46&gt;=0),OFFSET('Input data (2)'!AE$126,'Input data (2)'!$BL$1-$D46,0),IF(AND('Input data (2)'!$C$2=3,$C46&gt;=0),OFFSET('Input data (2)'!AE$126,'Input data (2)'!$BL$1-$C46,0),IF(AND('Input data (2)'!$C$2=2,$B46&gt;=0),OFFSET('Input data (2)'!AE$126,'Input data (2)'!$BL$1-$B46,0),IF(AND('Input data (2)'!$C$2=1,$A46&gt;=0),OFFSET('Input data (2)'!AE$126,'Input data (2)'!$BL$1-$A46,0),""))))</f>
        <v/>
      </c>
      <c r="AW67" s="1" t="str">
        <f ca="1">IF(AND('Input data (2)'!$C$2=4,$D46&gt;=0),OFFSET('Input data (2)'!L$126,'Input data (2)'!$BL$1-$D46,0),IF(AND('Input data (2)'!$C$2=3,$C46&gt;=0),OFFSET('Input data (2)'!L$126,'Input data (2)'!$BL$1-$C46,0),IF(AND('Input data (2)'!$C$2=2,$B46&gt;=0),OFFSET('Input data (2)'!L$126,'Input data (2)'!$BL$1-$B46,0),IF(AND('Input data (2)'!$C$2=1,$A46&gt;=0),OFFSET('Input data (2)'!L$126,'Input data (2)'!$BL$1-$A46,0),""))))</f>
        <v/>
      </c>
      <c r="AX67" s="1" t="str">
        <f ca="1">IF(AND('Input data (2)'!$C$2=4,$D46&gt;=0),OFFSET('Input data (2)'!M$126,'Input data (2)'!$BL$1-$D46,0),IF(AND('Input data (2)'!$C$2=3,$C46&gt;=0),OFFSET('Input data (2)'!M$126,'Input data (2)'!$BL$1-$C46,0),IF(AND('Input data (2)'!$C$2=2,$B46&gt;=0),OFFSET('Input data (2)'!M$126,'Input data (2)'!$BL$1-$B46,0),IF(AND('Input data (2)'!$C$2=1,$A46&gt;=0),OFFSET('Input data (2)'!M$126,'Input data (2)'!$BL$1-$A46,0),""))))</f>
        <v/>
      </c>
      <c r="AY67" s="1" t="str">
        <f ca="1">IF(AND('Input data (2)'!$C$2=4,$D46&gt;=0),OFFSET('Input data (2)'!N$126,'Input data (2)'!$BL$1-$D46,0),IF(AND('Input data (2)'!$C$2=3,$C46&gt;=0),OFFSET('Input data (2)'!N$126,'Input data (2)'!$BL$1-$C46,0),IF(AND('Input data (2)'!$C$2=2,$B46&gt;=0),OFFSET('Input data (2)'!N$126,'Input data (2)'!$BL$1-$B46,0),IF(AND('Input data (2)'!$C$2=1,$A46&gt;=0),OFFSET('Input data (2)'!N$126,'Input data (2)'!$BL$1-$A46,0),""))))</f>
        <v/>
      </c>
      <c r="AZ67" s="1" t="str">
        <f ca="1">IF(AND('Input data (2)'!$C$2=4,$D46&gt;=0),OFFSET('Input data (2)'!P$126,'Input data (2)'!$BL$1-$D46,0),IF(AND('Input data (2)'!$C$2=3,$C46&gt;=0),OFFSET('Input data (2)'!P$126,'Input data (2)'!$BL$1-$C46,0),IF(AND('Input data (2)'!$C$2=2,$B46&gt;=0),OFFSET('Input data (2)'!P$126,'Input data (2)'!$BL$1-$B46,0),IF(AND('Input data (2)'!$C$2=1,$A46&gt;=0),OFFSET('Input data (2)'!P$126,'Input data (2)'!$BL$1-$A46,0),""))))</f>
        <v/>
      </c>
      <c r="BB67" s="1" t="str">
        <f ca="1">IF(AND('Input data (2)'!$C$2=4,$D46&gt;=0),OFFSET('Input data (2)'!BB$126,'Input data (2)'!$BL$1-$D46,0),IF(AND('Input data (2)'!$C$2=3,$C46&gt;=0),OFFSET('Input data (2)'!BB$126,'Input data (2)'!$BL$1-$C46,0),IF(AND('Input data (2)'!$C$2=2,$B46&gt;=0),OFFSET('Input data (2)'!BB$126,'Input data (2)'!$BL$1-$B46,0),IF(AND('Input data (2)'!$C$2=1,$A46&gt;=0),OFFSET('Input data (2)'!BB$126,'Input data (2)'!$BL$1-$A46,0),""))))</f>
        <v/>
      </c>
      <c r="BC67" s="1" t="str">
        <f ca="1">IF(AND('Input data (2)'!$C$2=4,$D46&gt;=0),OFFSET('Input data (2)'!AY$126,'Input data (2)'!$BL$1-$D46,0),IF(AND('Input data (2)'!$C$2=3,$C46&gt;=0),OFFSET('Input data (2)'!AY$126,'Input data (2)'!$BL$1-$C46,0),IF(AND('Input data (2)'!$C$2=2,$B46&gt;=0),OFFSET('Input data (2)'!AY$126,'Input data (2)'!$BL$1-$B46,0),IF(AND('Input data (2)'!$C$2=1,$A46&gt;=0),OFFSET('Input data (2)'!AY$126,'Input data (2)'!$BL$1-$A46,0),""))))</f>
        <v/>
      </c>
      <c r="BD67" s="1" t="str">
        <f ca="1">IF(AND('Input data (2)'!$C$2=4,$D46&gt;=0),OFFSET('Input data (2)'!AZ$126,'Input data (2)'!$BL$1-$D46,0),IF(AND('Input data (2)'!$C$2=3,$C46&gt;=0),OFFSET('Input data (2)'!AZ$126,'Input data (2)'!$BL$1-$C46,0),IF(AND('Input data (2)'!$C$2=2,$B46&gt;=0),OFFSET('Input data (2)'!AZ$126,'Input data (2)'!$BL$1-$B46,0),IF(AND('Input data (2)'!$C$2=1,$A46&gt;=0),OFFSET('Input data (2)'!AZ$126,'Input data (2)'!$BL$1-$A46,0),""))))</f>
        <v/>
      </c>
      <c r="BE67" s="1" t="str">
        <f ca="1">IF(AND('Input data (2)'!$C$2=4,$D46&gt;=0),OFFSET('Input data (2)'!BA$126,'Input data (2)'!$BL$1-$D46,0),IF(AND('Input data (2)'!$C$2=3,$C46&gt;=0),OFFSET('Input data (2)'!BA$126,'Input data (2)'!$BL$1-$C46,0),IF(AND('Input data (2)'!$C$2=2,$B46&gt;=0),OFFSET('Input data (2)'!BA$126,'Input data (2)'!$BL$1-$B46,0),IF(AND('Input data (2)'!$C$2=1,$A46&gt;=0),OFFSET('Input data (2)'!BA$126,'Input data (2)'!$BL$1-$A46,0),""))))</f>
        <v/>
      </c>
      <c r="BF67" s="1" t="str">
        <f ca="1">IF(AND('Input data (2)'!$C$2=4,$D46&gt;=0),OFFSET('Input data (2)'!AP$126,'Input data (2)'!$BL$1-$D46,0),IF(AND('Input data (2)'!$C$2=3,$C46&gt;=0),OFFSET('Input data (2)'!AP$126,'Input data (2)'!$BL$1-$C46,0),IF(AND('Input data (2)'!$C$2=2,$B46&gt;=0),OFFSET('Input data (2)'!AP$126,'Input data (2)'!$BL$1-$B46,0),IF(AND('Input data (2)'!$C$2=1,$A46&gt;=0),OFFSET('Input data (2)'!AP$126,'Input data (2)'!$BL$1-$A46,0),""))))</f>
        <v/>
      </c>
      <c r="BG67" s="1" t="str">
        <f ca="1">IF(AND('Input data (2)'!$C$2=4,$D46&gt;=0),OFFSET('Input data (2)'!AN$126,'Input data (2)'!$BL$1-$D46,0),IF(AND('Input data (2)'!$C$2=3,$C46&gt;=0),OFFSET('Input data (2)'!AN$126,'Input data (2)'!$BL$1-$C46,0),IF(AND('Input data (2)'!$C$2=2,$B46&gt;=0),OFFSET('Input data (2)'!AN$126,'Input data (2)'!$BL$1-$B46,0),IF(AND('Input data (2)'!$C$2=1,$A46&gt;=0),OFFSET('Input data (2)'!AN$126,'Input data (2)'!$BL$1-$A46,0),""))))</f>
        <v/>
      </c>
      <c r="BH67" s="1" t="str">
        <f ca="1">IF(AND('Input data (2)'!$C$2=4,$D46&gt;=0),OFFSET('Input data (2)'!AO$126,'Input data (2)'!$BL$1-$D46,0),IF(AND('Input data (2)'!$C$2=3,$C46&gt;=0),OFFSET('Input data (2)'!AO$126,'Input data (2)'!$BL$1-$C46,0),IF(AND('Input data (2)'!$C$2=2,$B46&gt;=0),OFFSET('Input data (2)'!AO$126,'Input data (2)'!$BL$1-$B46,0),IF(AND('Input data (2)'!$C$2=1,$A46&gt;=0),OFFSET('Input data (2)'!AO$126,'Input data (2)'!$BL$1-$A46,0),""))))</f>
        <v/>
      </c>
      <c r="BJ67" s="1" t="str">
        <f ca="1">IF(AND('Input data (2)'!$C$2=4,$D46&gt;=0),OFFSET('Input data (2)'!AU$126,'Input data (2)'!$BL$1-$D46,0),IF(AND('Input data (2)'!$C$2=3,$C46&gt;=0),OFFSET('Input data (2)'!AU$126,'Input data (2)'!$BL$1-$C46,0),IF(AND('Input data (2)'!$C$2=2,$B46&gt;=0),OFFSET('Input data (2)'!AU$126,'Input data (2)'!$BL$1-$B46,0),IF(AND('Input data (2)'!$C$2=1,$A46&gt;=0),OFFSET('Input data (2)'!AU$126,'Input data (2)'!$BL$1-$A46,0),""))))</f>
        <v/>
      </c>
      <c r="BK67" s="1" t="str">
        <f ca="1">IF(AND('Input data (2)'!$C$2=4,$D46&gt;=0),OFFSET('Input data (2)'!AV$126,'Input data (2)'!$BL$1-$D46,0),IF(AND('Input data (2)'!$C$2=3,$C46&gt;=0),OFFSET('Input data (2)'!AV$126,'Input data (2)'!$BL$1-$C46,0),IF(AND('Input data (2)'!$C$2=2,$B46&gt;=0),OFFSET('Input data (2)'!AV$126,'Input data (2)'!$BL$1-$B46,0),IF(AND('Input data (2)'!$C$2=1,$A46&gt;=0),OFFSET('Input data (2)'!AV$126,'Input data (2)'!$BL$1-$A46,0),""))))</f>
        <v/>
      </c>
      <c r="BL67" s="1" t="str">
        <f ca="1">IF(AND('Input data (2)'!$C$2=4,$D46&gt;=0),OFFSET('Input data (2)'!AW$126,'Input data (2)'!$BL$1-$D46,0),IF(AND('Input data (2)'!$C$2=3,$C46&gt;=0),OFFSET('Input data (2)'!AW$126,'Input data (2)'!$BL$1-$C46,0),IF(AND('Input data (2)'!$C$2=2,$B46&gt;=0),OFFSET('Input data (2)'!AW$126,'Input data (2)'!$BL$1-$B46,0),IF(AND('Input data (2)'!$C$2=1,$A46&gt;=0),OFFSET('Input data (2)'!AW$126,'Input data (2)'!$BL$1-$A46,0),""))))</f>
        <v/>
      </c>
      <c r="BM67" s="1" t="str">
        <f ca="1">IF(AND('Input data (2)'!$C$2=4,$D46&gt;=0),OFFSET('Input data (2)'!AX$126,'Input data (2)'!$BL$1-$D46,0),IF(AND('Input data (2)'!$C$2=3,$C46&gt;=0),OFFSET('Input data (2)'!AX$126,'Input data (2)'!$BL$1-$C46,0),IF(AND('Input data (2)'!$C$2=2,$B46&gt;=0),OFFSET('Input data (2)'!AX$126,'Input data (2)'!$BL$1-$B46,0),IF(AND('Input data (2)'!$C$2=1,$A46&gt;=0),OFFSET('Input data (2)'!AX$126,'Input data (2)'!$BL$1-$A46,0),""))))</f>
        <v/>
      </c>
      <c r="BO67" s="1" t="str">
        <f ca="1">IF(AND('Input data (2)'!$C$2=4,$D46&gt;=0),OFFSET('Input data (2)'!BL$126,'Input data (2)'!$BL$1-$D46,0),IF(AND('Input data (2)'!$C$2=3,$C46&gt;=0),OFFSET('Input data (2)'!BL$126,'Input data (2)'!$BL$1-$C46,0),IF(AND('Input data (2)'!$C$2=2,$B46&gt;=0),OFFSET('Input data (2)'!BL$126,'Input data (2)'!$BL$1-$B46,0),IF(AND('Input data (2)'!$C$2=1,$A46&gt;=0),OFFSET('Input data (2)'!BL$126,'Input data (2)'!$BL$1-$A46,0),""))))</f>
        <v/>
      </c>
      <c r="BP67" s="1" t="str">
        <f ca="1">IF(AND('Input data (2)'!$C$2=4,$D46&gt;=0),OFFSET('Input data (2)'!BI$126,'Input data (2)'!$BL$1-$D46,0),IF(AND('Input data (2)'!$C$2=3,$C46&gt;=0),OFFSET('Input data (2)'!BI$126,'Input data (2)'!$BL$1-$C46,0),IF(AND('Input data (2)'!$C$2=2,$B46&gt;=0),OFFSET('Input data (2)'!BI$126,'Input data (2)'!$BL$1-$B46,0),IF(AND('Input data (2)'!$C$2=1,$A46&gt;=0),OFFSET('Input data (2)'!BI$126,'Input data (2)'!$BL$1-$A46,0),""))))</f>
        <v/>
      </c>
      <c r="BQ67" s="1" t="str">
        <f ca="1">IF(AND('Input data (2)'!$C$2=4,$D46&gt;=0),OFFSET('Input data (2)'!BK$126,'Input data (2)'!$BL$1-$D46,0),IF(AND('Input data (2)'!$C$2=3,$C46&gt;=0),OFFSET('Input data (2)'!BK$126,'Input data (2)'!$BL$1-$C46,0),IF(AND('Input data (2)'!$C$2=2,$B46&gt;=0),OFFSET('Input data (2)'!BK$126,'Input data (2)'!$BL$1-$B46,0),IF(AND('Input data (2)'!$C$2=1,$A46&gt;=0),OFFSET('Input data (2)'!BK$126,'Input data (2)'!$BL$1-$A46,0),""))))</f>
        <v/>
      </c>
      <c r="BR67" s="1" t="str">
        <f ca="1">IF(AND('Input data (2)'!$C$2=4,$D46&gt;=0),OFFSET('Input data (2)'!BJ$126,'Input data (2)'!$BL$1-$D46,0),IF(AND('Input data (2)'!$C$2=3,$C46&gt;=0),OFFSET('Input data (2)'!BJ$126,'Input data (2)'!$BL$1-$C46,0),IF(AND('Input data (2)'!$C$2=2,$B46&gt;=0),OFFSET('Input data (2)'!BJ$126,'Input data (2)'!$BL$1-$B46,0),IF(AND('Input data (2)'!$C$2=1,$A46&gt;=0),OFFSET('Input data (2)'!BJ$126,'Input data (2)'!$BL$1-$A46,0),""))))</f>
        <v/>
      </c>
      <c r="BS67" s="1" t="str">
        <f ca="1">IF(AND('Input data (2)'!$C$2=4,$D46&gt;=0),OFFSET('Input data (2)'!BF$126,'Input data (2)'!$BL$1-$D46,0),IF(AND('Input data (2)'!$C$2=3,$C46&gt;=0),OFFSET('Input data (2)'!BF$126,'Input data (2)'!$BL$1-$C46,0),IF(AND('Input data (2)'!$C$2=2,$B46&gt;=0),OFFSET('Input data (2)'!BF$126,'Input data (2)'!$BL$1-$B46,0),IF(AND('Input data (2)'!$C$2=1,$A46&gt;=0),OFFSET('Input data (2)'!BF$126,'Input data (2)'!$BL$1-$A46,0),""))))</f>
        <v/>
      </c>
      <c r="BT67" s="1" t="str">
        <f ca="1">IF(AND('Input data (2)'!$C$2=4,$D46&gt;=0),OFFSET('Input data (2)'!BD$126,'Input data (2)'!$BL$1-$D46,0),IF(AND('Input data (2)'!$C$2=3,$C46&gt;=0),OFFSET('Input data (2)'!BD$126,'Input data (2)'!$BL$1-$C46,0),IF(AND('Input data (2)'!$C$2=2,$B46&gt;=0),OFFSET('Input data (2)'!BD$126,'Input data (2)'!$BL$1-$B46,0),IF(AND('Input data (2)'!$C$2=1,$A46&gt;=0),OFFSET('Input data (2)'!BD$126,'Input data (2)'!$BL$1-$A46,0),""))))</f>
        <v/>
      </c>
      <c r="BU67" s="1" t="str">
        <f ca="1">IF(AND('Input data (2)'!$C$2=4,$D46&gt;=0),OFFSET('Input data (2)'!BE$126,'Input data (2)'!$BL$1-$D46,0),IF(AND('Input data (2)'!$C$2=3,$C46&gt;=0),OFFSET('Input data (2)'!BE$126,'Input data (2)'!$BL$1-$C46,0),IF(AND('Input data (2)'!$C$2=2,$B46&gt;=0),OFFSET('Input data (2)'!BE$126,'Input data (2)'!$BL$1-$B46,0),IF(AND('Input data (2)'!$C$2=1,$A46&gt;=0),OFFSET('Input data (2)'!BE$126,'Input data (2)'!$BL$1-$A46,0),""))))</f>
        <v/>
      </c>
      <c r="BW67" s="7" t="str">
        <f ca="1">IF(AND('Input data (2)'!$C$2=4,$D46&gt;=0),OFFSET('Input data (2)'!J$126,'Input data (2)'!$BL$1-$D46,0),IF(AND('Input data (2)'!$C$2=3,$C46&gt;=0),OFFSET('Input data (2)'!J$126,'Input data (2)'!$BL$1-$C46,0),IF(AND('Input data (2)'!$C$2=2,$B46&gt;=0),OFFSET('Input data (2)'!J$126,'Input data (2)'!$BL$1-$B46,0),IF(AND('Input data (2)'!$C$2=1,$A46&gt;=0),OFFSET('Input data (2)'!J$126,'Input data (2)'!$BL$1-$A46,0),""))))</f>
        <v/>
      </c>
      <c r="BX67" s="7" t="str">
        <f ca="1">IF(AND('Input data (2)'!$C$2=4,$D46&gt;=0),OFFSET('Input data (2)'!K$126,'Input data (2)'!$BL$1-$D46,0),IF(AND('Input data (2)'!$C$2=3,$C46&gt;=0),OFFSET('Input data (2)'!K$126,'Input data (2)'!$BL$1-$C46,0),IF(AND('Input data (2)'!$C$2=2,$B46&gt;=0),OFFSET('Input data (2)'!K$126,'Input data (2)'!$BL$1-$B46,0),IF(AND('Input data (2)'!$C$2=1,$A46&gt;=0),OFFSET('Input data (2)'!K$126,'Input data (2)'!$BL$1-$A46,0),""))))</f>
        <v/>
      </c>
      <c r="BY67" s="7" t="str">
        <f ca="1">IF(AND('Input data (2)'!$C$2=4,$D46&gt;=0),OFFSET('Input data (2)'!AS$126,'Input data (2)'!$BL$1-$D46,0),IF(AND('Input data (2)'!$C$2=3,$C46&gt;=0),OFFSET('Input data (2)'!AS$126,'Input data (2)'!$BL$1-$C46,0),IF(AND('Input data (2)'!$C$2=2,$B46&gt;=0),OFFSET('Input data (2)'!AS$126,'Input data (2)'!$BL$1-$B46,0),IF(AND('Input data (2)'!$C$2=1,$A46&gt;=0),OFFSET('Input data (2)'!AS$126,'Input data (2)'!$BL$1-$A46,0),""))))</f>
        <v/>
      </c>
      <c r="BZ67" s="7" t="str">
        <f ca="1">IF(AND('Input data (2)'!$C$2=4,$D46&gt;=0),OFFSET('Input data (2)'!AT$126,'Input data (2)'!$BL$1-$D46,0),IF(AND('Input data (2)'!$C$2=3,$C46&gt;=0),OFFSET('Input data (2)'!AT$126,'Input data (2)'!$BL$1-$C46,0),IF(AND('Input data (2)'!$C$2=2,$B46&gt;=0),OFFSET('Input data (2)'!AT$126,'Input data (2)'!$BL$1-$B46,0),IF(AND('Input data (2)'!$C$2=1,$A46&gt;=0),OFFSET('Input data (2)'!AT$126,'Input data (2)'!$BL$1-$A46,0),""))))</f>
        <v/>
      </c>
      <c r="CB67" s="122"/>
      <c r="CC67" s="122"/>
      <c r="CD67" s="122"/>
      <c r="CE67" s="122"/>
    </row>
    <row r="68" spans="5:83" x14ac:dyDescent="0.15">
      <c r="E68" s="1" t="str">
        <f>F68&amp;G63</f>
        <v>2013Q4</v>
      </c>
      <c r="F68" s="1">
        <f>F63+1</f>
        <v>2013</v>
      </c>
      <c r="G68" s="1" t="str">
        <f>IF(F68&amp;G63='Input data (2)'!$C$3,"p "&amp;'Output data - DO NOT TOUCH (2)'!G63,'Output data - DO NOT TOUCH (2)'!G63)</f>
        <v>Q4</v>
      </c>
      <c r="BW68" s="7"/>
      <c r="BX68" s="7"/>
      <c r="BY68" s="7"/>
      <c r="BZ68" s="7"/>
      <c r="CB68" s="122"/>
      <c r="CC68" s="122"/>
      <c r="CD68" s="122"/>
      <c r="CE68" s="122"/>
    </row>
    <row r="69" spans="5:83" x14ac:dyDescent="0.15">
      <c r="BW69" s="7"/>
      <c r="BX69" s="7"/>
      <c r="BY69" s="7"/>
      <c r="BZ69" s="7"/>
      <c r="CB69" s="122"/>
      <c r="CC69" s="122"/>
      <c r="CD69" s="122"/>
      <c r="CE69" s="122"/>
    </row>
    <row r="70" spans="5:83" x14ac:dyDescent="0.15">
      <c r="BW70" s="7"/>
      <c r="BX70" s="7"/>
      <c r="BY70" s="7"/>
      <c r="BZ70" s="7"/>
      <c r="CB70" s="122"/>
      <c r="CC70" s="122"/>
      <c r="CD70" s="122"/>
      <c r="CE70" s="122"/>
    </row>
    <row r="71" spans="5:83" x14ac:dyDescent="0.15">
      <c r="E71" s="1" t="s">
        <v>98</v>
      </c>
      <c r="H71" s="1">
        <v>6</v>
      </c>
      <c r="I71" s="1">
        <v>4</v>
      </c>
      <c r="J71" s="1">
        <v>5</v>
      </c>
      <c r="K71" s="1">
        <v>35</v>
      </c>
      <c r="L71" s="1">
        <v>33</v>
      </c>
      <c r="M71" s="1">
        <v>34</v>
      </c>
      <c r="BW71" s="7"/>
      <c r="BX71" s="7"/>
      <c r="BY71" s="7"/>
      <c r="BZ71" s="7"/>
      <c r="CB71" s="122"/>
      <c r="CC71" s="122"/>
      <c r="CD71" s="122"/>
      <c r="CE71" s="122"/>
    </row>
    <row r="72" spans="5:83" x14ac:dyDescent="0.15">
      <c r="BW72" s="7"/>
      <c r="BX72" s="7"/>
      <c r="BY72" s="7"/>
      <c r="BZ72" s="7"/>
      <c r="CB72" s="122"/>
      <c r="CC72" s="122"/>
      <c r="CD72" s="122"/>
      <c r="CE72" s="122"/>
    </row>
    <row r="73" spans="5:83" x14ac:dyDescent="0.15">
      <c r="E73" s="1" t="s">
        <v>95</v>
      </c>
      <c r="BW73" s="7"/>
      <c r="BX73" s="7"/>
      <c r="BY73" s="7"/>
      <c r="BZ73" s="7"/>
      <c r="CB73" s="122"/>
      <c r="CC73" s="122"/>
      <c r="CD73" s="122"/>
      <c r="CE73" s="122"/>
    </row>
    <row r="74" spans="5:83" x14ac:dyDescent="0.15">
      <c r="E74" s="1" t="str">
        <f>IF('Input data (2)'!C2=1,'Input data (2)'!C1-1&amp;"Q"&amp;4,'Input data (2)'!C1&amp;"Q"&amp;'Input data (2)'!C2-1)</f>
        <v>2013Q1</v>
      </c>
      <c r="F74" s="1">
        <f>LEFT(E74,4)*1</f>
        <v>2013</v>
      </c>
      <c r="G74" s="1" t="str">
        <f>RIGHT(E74,2)</f>
        <v>Q1</v>
      </c>
      <c r="H74" s="7">
        <f>100*(VLOOKUP('Input data (2)'!$C$3,$E$15:$M$68,H$78,FALSE)/VLOOKUP($E74,$E$15:$M$68,H$78,FALSE)-1)</f>
        <v>12.170605813637604</v>
      </c>
      <c r="I74" s="7">
        <f>100*(VLOOKUP('Input data (2)'!$C$3,$E$15:$M$68,I$78,FALSE)/VLOOKUP($E74,$E$15:$M$68,I$78,FALSE)-1)</f>
        <v>6.3720452209660827</v>
      </c>
      <c r="J74" s="7">
        <f>100*(VLOOKUP('Input data (2)'!$C$3,$E$15:$M$68,J$78,FALSE)/VLOOKUP($E74,$E$15:$M$68,J$78,FALSE)-1)</f>
        <v>14.254062038404737</v>
      </c>
      <c r="K74" s="7">
        <f>100*(VLOOKUP('Input data (2)'!$C$3,$E$15:$M$68,K$78,FALSE)/VLOOKUP($E74,$E$15:$M$68,K$78,FALSE)-1)</f>
        <v>10.45884733809439</v>
      </c>
      <c r="L74" s="7">
        <f>100*(VLOOKUP('Input data (2)'!$C$3,$E$15:$M$68,L$78,FALSE)/VLOOKUP($E74,$E$15:$M$68,L$78,FALSE)-1)</f>
        <v>-6.5928457342582236</v>
      </c>
      <c r="M74" s="7">
        <f>100*(VLOOKUP('Input data (2)'!$C$3,$E$15:$M$68,M$78,FALSE)/VLOOKUP($E74,$E$15:$M$68,M$78,FALSE)-1)</f>
        <v>17.278637745063151</v>
      </c>
      <c r="N74" s="7"/>
      <c r="BW74" s="7"/>
      <c r="BX74" s="7"/>
      <c r="BY74" s="7"/>
      <c r="BZ74" s="7"/>
      <c r="CB74" s="122"/>
      <c r="CC74" s="122"/>
      <c r="CD74" s="122"/>
      <c r="CE74" s="122"/>
    </row>
    <row r="75" spans="5:83" x14ac:dyDescent="0.15">
      <c r="E75" s="1" t="s">
        <v>96</v>
      </c>
      <c r="BW75" s="7"/>
      <c r="BX75" s="7"/>
      <c r="BY75" s="7"/>
      <c r="BZ75" s="7"/>
      <c r="CB75" s="122"/>
      <c r="CC75" s="122"/>
      <c r="CD75" s="122"/>
      <c r="CE75" s="122"/>
    </row>
    <row r="76" spans="5:83" x14ac:dyDescent="0.15">
      <c r="E76" s="1" t="str">
        <f>'Input data (2)'!C1-1&amp;"Q"&amp;'Input data (2)'!C2</f>
        <v>2012Q2</v>
      </c>
      <c r="F76" s="1">
        <f>LEFT(E76,4)*1</f>
        <v>2012</v>
      </c>
      <c r="G76" s="1" t="str">
        <f>RIGHT(E76,2)</f>
        <v>Q2</v>
      </c>
      <c r="H76" s="7">
        <f>100*(VLOOKUP('Input data (2)'!$C$3,$E$15:$M$68,H$78,FALSE)/VLOOKUP($E76,$E$15:$M$68,H$78,FALSE)-1)</f>
        <v>0.46228710462286049</v>
      </c>
      <c r="I76" s="7">
        <f>100*(VLOOKUP('Input data (2)'!$C$3,$E$15:$M$68,I$78,FALSE)/VLOOKUP($E76,$E$15:$M$68,I$78,FALSE)-1)</f>
        <v>0.38797284190106307</v>
      </c>
      <c r="J76" s="7">
        <f>100*(VLOOKUP('Input data (2)'!$C$3,$E$15:$M$68,J$78,FALSE)/VLOOKUP($E76,$E$15:$M$68,J$78,FALSE)-1)</f>
        <v>0.48717115946737</v>
      </c>
      <c r="K76" s="7">
        <f>100*(VLOOKUP('Input data (2)'!$C$3,$E$15:$M$68,K$78,FALSE)/VLOOKUP($E76,$E$15:$M$68,K$78,FALSE)-1)</f>
        <v>-2.1185277852630913</v>
      </c>
      <c r="L76" s="7">
        <f>100*(VLOOKUP('Input data (2)'!$C$3,$E$15:$M$68,L$78,FALSE)/VLOOKUP($E76,$E$15:$M$68,L$78,FALSE)-1)</f>
        <v>-6.5170668556441598</v>
      </c>
      <c r="M76" s="7">
        <f>100*(VLOOKUP('Input data (2)'!$C$3,$E$15:$M$68,M$78,FALSE)/VLOOKUP($E76,$E$15:$M$68,M$78,FALSE)-1)</f>
        <v>-0.62916738857279331</v>
      </c>
      <c r="N76" s="7"/>
      <c r="BW76" s="7"/>
      <c r="BX76" s="7"/>
      <c r="BY76" s="7"/>
      <c r="BZ76" s="7"/>
      <c r="CB76" s="122"/>
      <c r="CC76" s="122"/>
      <c r="CD76" s="122"/>
      <c r="CE76" s="122"/>
    </row>
    <row r="78" spans="5:83" x14ac:dyDescent="0.15">
      <c r="E78" s="1" t="s">
        <v>97</v>
      </c>
      <c r="H78" s="1">
        <f t="shared" ref="H78:M78" si="33">COLUMN(H76)-4</f>
        <v>4</v>
      </c>
      <c r="I78" s="1">
        <f t="shared" si="33"/>
        <v>5</v>
      </c>
      <c r="J78" s="1">
        <f t="shared" si="33"/>
        <v>6</v>
      </c>
      <c r="K78" s="1">
        <f t="shared" si="33"/>
        <v>7</v>
      </c>
      <c r="L78" s="1">
        <f t="shared" si="33"/>
        <v>8</v>
      </c>
      <c r="M78" s="1">
        <f t="shared" si="33"/>
        <v>9</v>
      </c>
    </row>
  </sheetData>
  <mergeCells count="27">
    <mergeCell ref="AN1:AQ1"/>
    <mergeCell ref="AS1:AU1"/>
    <mergeCell ref="EH2:EJ2"/>
    <mergeCell ref="ED2:EF2"/>
    <mergeCell ref="AW1:AZ1"/>
    <mergeCell ref="BJ1:BM1"/>
    <mergeCell ref="BO1:BU1"/>
    <mergeCell ref="CB1:CE1"/>
    <mergeCell ref="BB1:BH1"/>
    <mergeCell ref="DY2:EA2"/>
    <mergeCell ref="DH2:DK2"/>
    <mergeCell ref="DQ2:DS2"/>
    <mergeCell ref="BW1:BZ1"/>
    <mergeCell ref="DM2:DO2"/>
    <mergeCell ref="CZ2:DB2"/>
    <mergeCell ref="CU2:CX2"/>
    <mergeCell ref="Y1:AH1"/>
    <mergeCell ref="AJ1:AL1"/>
    <mergeCell ref="H1:M1"/>
    <mergeCell ref="Q1:W1"/>
    <mergeCell ref="Q2:T2"/>
    <mergeCell ref="U2:W2"/>
    <mergeCell ref="CM2:CO2"/>
    <mergeCell ref="DD2:DF2"/>
    <mergeCell ref="CQ2:CS2"/>
    <mergeCell ref="H2:J2"/>
    <mergeCell ref="K2:M2"/>
  </mergeCells>
  <phoneticPr fontId="0" type="noConversion"/>
  <pageMargins left="0.75" right="0.75" top="1" bottom="1" header="0.5" footer="0.5"/>
  <pageSetup paperSize="9" orientation="portrait" r:id="rId1"/>
  <headerFooter alignWithMargins="0"/>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AA74"/>
  <sheetViews>
    <sheetView showGridLines="0" zoomScaleNormal="100" workbookViewId="0">
      <pane xSplit="3" ySplit="5" topLeftCell="D6" activePane="bottomRight" state="frozen"/>
      <selection pane="topRight"/>
      <selection pane="bottomLeft"/>
      <selection pane="bottomRight" activeCell="D6" sqref="D6"/>
    </sheetView>
  </sheetViews>
  <sheetFormatPr defaultColWidth="8.85546875" defaultRowHeight="12.75" customHeight="1" x14ac:dyDescent="0.3"/>
  <cols>
    <col min="1" max="1" width="7.42578125" style="131" customWidth="1"/>
    <col min="2" max="2" width="4.85546875" style="131" customWidth="1"/>
    <col min="3" max="3" width="4.85546875" style="174" customWidth="1"/>
    <col min="4" max="4" width="12.7109375" style="172" customWidth="1"/>
    <col min="5" max="5" width="3.85546875" style="174" customWidth="1"/>
    <col min="6" max="6" width="12.7109375" style="172" customWidth="1"/>
    <col min="7" max="7" width="3.85546875" style="174" customWidth="1"/>
    <col min="8" max="8" width="12.7109375" style="172" customWidth="1"/>
    <col min="9" max="9" width="3.85546875" style="174" customWidth="1"/>
    <col min="10" max="16384" width="8.85546875" style="134"/>
  </cols>
  <sheetData>
    <row r="1" spans="1:11" ht="12.75" customHeight="1" x14ac:dyDescent="0.3">
      <c r="B1" s="132"/>
      <c r="C1" s="133"/>
      <c r="D1" s="132"/>
      <c r="E1" s="133"/>
      <c r="F1" s="132"/>
      <c r="G1" s="133"/>
      <c r="H1" s="132"/>
      <c r="I1" s="133"/>
    </row>
    <row r="2" spans="1:11" s="136" customFormat="1" ht="31.5" customHeight="1" x14ac:dyDescent="0.3">
      <c r="A2" s="193" t="s">
        <v>190</v>
      </c>
      <c r="B2" s="194"/>
      <c r="C2" s="194"/>
      <c r="D2" s="195" t="s">
        <v>236</v>
      </c>
      <c r="E2" s="133"/>
      <c r="F2" s="132"/>
      <c r="G2" s="133"/>
      <c r="H2" s="132"/>
      <c r="I2" s="133"/>
      <c r="J2" s="132"/>
    </row>
    <row r="3" spans="1:11" s="136" customFormat="1" ht="17.25" x14ac:dyDescent="0.3">
      <c r="A3" s="196" t="s">
        <v>154</v>
      </c>
      <c r="B3" s="197"/>
      <c r="C3" s="214"/>
      <c r="D3" s="198" t="s">
        <v>189</v>
      </c>
      <c r="E3" s="283"/>
      <c r="F3" s="188"/>
      <c r="G3" s="283"/>
      <c r="H3" s="188"/>
      <c r="I3" s="283"/>
      <c r="J3" s="132"/>
    </row>
    <row r="4" spans="1:11" ht="10.5" customHeight="1" thickBot="1" x14ac:dyDescent="0.35">
      <c r="A4" s="137"/>
      <c r="B4" s="137"/>
      <c r="C4" s="215"/>
      <c r="D4" s="137"/>
      <c r="E4" s="215"/>
      <c r="F4" s="137"/>
      <c r="G4" s="215"/>
      <c r="H4" s="137"/>
      <c r="I4" s="215"/>
    </row>
    <row r="5" spans="1:11" ht="47.25" customHeight="1" thickBot="1" x14ac:dyDescent="0.35">
      <c r="A5" s="231"/>
      <c r="B5" s="231"/>
      <c r="C5" s="232"/>
      <c r="D5" s="346" t="s">
        <v>137</v>
      </c>
      <c r="E5" s="346"/>
      <c r="F5" s="347" t="s">
        <v>116</v>
      </c>
      <c r="G5" s="347"/>
      <c r="H5" s="347" t="s">
        <v>421</v>
      </c>
      <c r="I5" s="347"/>
      <c r="J5" s="347" t="s">
        <v>168</v>
      </c>
      <c r="K5" s="347"/>
    </row>
    <row r="6" spans="1:11" s="142" customFormat="1" ht="12.75" customHeight="1" x14ac:dyDescent="0.25">
      <c r="A6" s="151">
        <v>2007</v>
      </c>
      <c r="B6" s="152" t="s">
        <v>1</v>
      </c>
      <c r="C6" s="219"/>
      <c r="D6" s="206">
        <v>0.42001143933594937</v>
      </c>
      <c r="E6" s="154" t="s">
        <v>508</v>
      </c>
      <c r="F6" s="206">
        <v>0.26976344477674796</v>
      </c>
      <c r="G6" s="154" t="s">
        <v>508</v>
      </c>
      <c r="H6" s="206">
        <v>0.13744276775017855</v>
      </c>
      <c r="I6" s="154" t="s">
        <v>508</v>
      </c>
      <c r="J6" s="206">
        <v>1.2805226809022846E-2</v>
      </c>
      <c r="K6" s="154" t="s">
        <v>508</v>
      </c>
    </row>
    <row r="7" spans="1:11" s="142" customFormat="1" ht="12.75" customHeight="1" x14ac:dyDescent="0.25">
      <c r="A7" s="151"/>
      <c r="B7" s="152" t="s">
        <v>2</v>
      </c>
      <c r="C7" s="219"/>
      <c r="D7" s="206">
        <v>0.47994381145621973</v>
      </c>
      <c r="E7" s="154" t="s">
        <v>508</v>
      </c>
      <c r="F7" s="206">
        <v>0.31856897589689848</v>
      </c>
      <c r="G7" s="154" t="s">
        <v>508</v>
      </c>
      <c r="H7" s="206">
        <v>0.14297977658364736</v>
      </c>
      <c r="I7" s="154" t="s">
        <v>508</v>
      </c>
      <c r="J7" s="206">
        <v>1.8395058975673926E-2</v>
      </c>
      <c r="K7" s="154" t="s">
        <v>508</v>
      </c>
    </row>
    <row r="8" spans="1:11" s="142" customFormat="1" ht="12.75" customHeight="1" x14ac:dyDescent="0.25">
      <c r="A8" s="151"/>
      <c r="B8" s="152" t="s">
        <v>3</v>
      </c>
      <c r="C8" s="219"/>
      <c r="D8" s="206">
        <v>0.45449954550045452</v>
      </c>
      <c r="E8" s="154" t="s">
        <v>508</v>
      </c>
      <c r="F8" s="206">
        <v>0.30955104180030951</v>
      </c>
      <c r="G8" s="154" t="s">
        <v>508</v>
      </c>
      <c r="H8" s="206">
        <v>0.1302079779001302</v>
      </c>
      <c r="I8" s="154" t="s">
        <v>508</v>
      </c>
      <c r="J8" s="206">
        <v>1.4740525800014739E-2</v>
      </c>
      <c r="K8" s="154" t="s">
        <v>508</v>
      </c>
    </row>
    <row r="9" spans="1:11" s="142" customFormat="1" ht="12.75" customHeight="1" x14ac:dyDescent="0.25">
      <c r="A9" s="151"/>
      <c r="B9" s="152" t="s">
        <v>4</v>
      </c>
      <c r="C9" s="219"/>
      <c r="D9" s="206">
        <v>0.42987828150465435</v>
      </c>
      <c r="E9" s="154" t="s">
        <v>508</v>
      </c>
      <c r="F9" s="206">
        <v>0.32140432262030227</v>
      </c>
      <c r="G9" s="154" t="s">
        <v>508</v>
      </c>
      <c r="H9" s="206">
        <v>9.8028318399192196E-2</v>
      </c>
      <c r="I9" s="154" t="s">
        <v>508</v>
      </c>
      <c r="J9" s="206">
        <v>1.0445640485159825E-2</v>
      </c>
      <c r="K9" s="154" t="s">
        <v>508</v>
      </c>
    </row>
    <row r="10" spans="1:11" s="142" customFormat="1" ht="12.75" customHeight="1" x14ac:dyDescent="0.25">
      <c r="A10" s="151"/>
      <c r="B10" s="152"/>
      <c r="C10" s="219"/>
      <c r="D10" s="206"/>
      <c r="E10" s="154"/>
      <c r="F10" s="206"/>
      <c r="G10" s="154"/>
      <c r="H10" s="206"/>
      <c r="I10" s="154"/>
      <c r="J10" s="206"/>
      <c r="K10" s="154"/>
    </row>
    <row r="11" spans="1:11" s="142" customFormat="1" ht="12.75" customHeight="1" x14ac:dyDescent="0.25">
      <c r="A11" s="151">
        <v>2008</v>
      </c>
      <c r="B11" s="152" t="s">
        <v>1</v>
      </c>
      <c r="C11" s="219"/>
      <c r="D11" s="206">
        <v>0.41343301574879399</v>
      </c>
      <c r="E11" s="154" t="s">
        <v>508</v>
      </c>
      <c r="F11" s="206">
        <v>0.32489669115249392</v>
      </c>
      <c r="G11" s="154" t="s">
        <v>508</v>
      </c>
      <c r="H11" s="206">
        <v>7.8259786919943786E-2</v>
      </c>
      <c r="I11" s="154" t="s">
        <v>508</v>
      </c>
      <c r="J11" s="206">
        <v>1.0276537676356255E-2</v>
      </c>
      <c r="K11" s="154" t="s">
        <v>508</v>
      </c>
    </row>
    <row r="12" spans="1:11" s="142" customFormat="1" ht="12.75" customHeight="1" x14ac:dyDescent="0.25">
      <c r="A12" s="151"/>
      <c r="B12" s="152" t="s">
        <v>2</v>
      </c>
      <c r="C12" s="219"/>
      <c r="D12" s="206">
        <v>0.38878547391507873</v>
      </c>
      <c r="E12" s="154" t="s">
        <v>508</v>
      </c>
      <c r="F12" s="206">
        <v>0.33190904185936582</v>
      </c>
      <c r="G12" s="154" t="s">
        <v>508</v>
      </c>
      <c r="H12" s="206">
        <v>5.1422527612014421E-2</v>
      </c>
      <c r="I12" s="154" t="s">
        <v>508</v>
      </c>
      <c r="J12" s="206">
        <v>5.4539044436984997E-3</v>
      </c>
      <c r="K12" s="154" t="s">
        <v>508</v>
      </c>
    </row>
    <row r="13" spans="1:11" s="142" customFormat="1" ht="12.75" customHeight="1" x14ac:dyDescent="0.25">
      <c r="A13" s="151"/>
      <c r="B13" s="152" t="s">
        <v>3</v>
      </c>
      <c r="C13" s="219"/>
      <c r="D13" s="206">
        <v>0.44248325803905403</v>
      </c>
      <c r="E13" s="154" t="s">
        <v>508</v>
      </c>
      <c r="F13" s="206">
        <v>0.37949084977654979</v>
      </c>
      <c r="G13" s="154" t="s">
        <v>508</v>
      </c>
      <c r="H13" s="206">
        <v>5.6846807456406252E-2</v>
      </c>
      <c r="I13" s="154" t="s">
        <v>508</v>
      </c>
      <c r="J13" s="206">
        <v>6.1456008060979733E-3</v>
      </c>
      <c r="K13" s="154" t="s">
        <v>508</v>
      </c>
    </row>
    <row r="14" spans="1:11" s="142" customFormat="1" ht="12.75" customHeight="1" x14ac:dyDescent="0.25">
      <c r="A14" s="151"/>
      <c r="B14" s="152" t="s">
        <v>4</v>
      </c>
      <c r="C14" s="219"/>
      <c r="D14" s="206">
        <v>0.51262906837526134</v>
      </c>
      <c r="E14" s="154" t="s">
        <v>508</v>
      </c>
      <c r="F14" s="206">
        <v>0.42668383881086286</v>
      </c>
      <c r="G14" s="154" t="s">
        <v>508</v>
      </c>
      <c r="H14" s="206">
        <v>7.9100034289357829E-2</v>
      </c>
      <c r="I14" s="154" t="s">
        <v>508</v>
      </c>
      <c r="J14" s="206">
        <v>6.8451952750405807E-3</v>
      </c>
      <c r="K14" s="154" t="s">
        <v>508</v>
      </c>
    </row>
    <row r="15" spans="1:11" s="142" customFormat="1" ht="12.75" customHeight="1" x14ac:dyDescent="0.25">
      <c r="A15" s="151"/>
      <c r="B15" s="152"/>
      <c r="C15" s="219"/>
      <c r="D15" s="206"/>
      <c r="E15" s="154"/>
      <c r="F15" s="206"/>
      <c r="G15" s="154"/>
      <c r="H15" s="206"/>
      <c r="I15" s="154"/>
      <c r="J15" s="206"/>
      <c r="K15" s="154"/>
    </row>
    <row r="16" spans="1:11" s="142" customFormat="1" ht="12.75" customHeight="1" x14ac:dyDescent="0.25">
      <c r="A16" s="151">
        <v>2009</v>
      </c>
      <c r="B16" s="152" t="s">
        <v>1</v>
      </c>
      <c r="C16" s="219"/>
      <c r="D16" s="206">
        <v>0.55173703061142643</v>
      </c>
      <c r="E16" s="154" t="s">
        <v>508</v>
      </c>
      <c r="F16" s="206">
        <v>0.4418443528110737</v>
      </c>
      <c r="G16" s="154" t="s">
        <v>508</v>
      </c>
      <c r="H16" s="206">
        <v>0.1045875140444737</v>
      </c>
      <c r="I16" s="154" t="s">
        <v>508</v>
      </c>
      <c r="J16" s="206">
        <v>5.3051637558791014E-3</v>
      </c>
      <c r="K16" s="154" t="s">
        <v>508</v>
      </c>
    </row>
    <row r="17" spans="1:11" s="142" customFormat="1" ht="12.75" customHeight="1" x14ac:dyDescent="0.25">
      <c r="A17" s="151"/>
      <c r="B17" s="152" t="s">
        <v>2</v>
      </c>
      <c r="C17" s="219"/>
      <c r="D17" s="206">
        <v>0.57117211648472521</v>
      </c>
      <c r="E17" s="154" t="s">
        <v>508</v>
      </c>
      <c r="F17" s="206">
        <v>0.44146370756189912</v>
      </c>
      <c r="G17" s="154" t="s">
        <v>508</v>
      </c>
      <c r="H17" s="206">
        <v>0.12212312185131574</v>
      </c>
      <c r="I17" s="154" t="s">
        <v>508</v>
      </c>
      <c r="J17" s="206">
        <v>7.5852870715102938E-3</v>
      </c>
      <c r="K17" s="154" t="s">
        <v>508</v>
      </c>
    </row>
    <row r="18" spans="1:11" s="142" customFormat="1" ht="12.75" customHeight="1" x14ac:dyDescent="0.25">
      <c r="A18" s="151"/>
      <c r="B18" s="152" t="s">
        <v>3</v>
      </c>
      <c r="C18" s="219"/>
      <c r="D18" s="206">
        <v>0.56819694451522607</v>
      </c>
      <c r="E18" s="154" t="s">
        <v>508</v>
      </c>
      <c r="F18" s="206">
        <v>0.42595754876643455</v>
      </c>
      <c r="G18" s="154" t="s">
        <v>508</v>
      </c>
      <c r="H18" s="206">
        <v>0.12854790310987044</v>
      </c>
      <c r="I18" s="154" t="s">
        <v>508</v>
      </c>
      <c r="J18" s="206">
        <v>1.369149263892111E-2</v>
      </c>
      <c r="K18" s="154" t="s">
        <v>508</v>
      </c>
    </row>
    <row r="19" spans="1:11" s="142" customFormat="1" ht="12.75" customHeight="1" x14ac:dyDescent="0.25">
      <c r="A19" s="151"/>
      <c r="B19" s="152" t="s">
        <v>4</v>
      </c>
      <c r="C19" s="219"/>
      <c r="D19" s="206">
        <v>0.58229107274999103</v>
      </c>
      <c r="E19" s="154" t="s">
        <v>508</v>
      </c>
      <c r="F19" s="206">
        <v>0.42599189006446703</v>
      </c>
      <c r="G19" s="154" t="s">
        <v>508</v>
      </c>
      <c r="H19" s="206">
        <v>0.13101549136874796</v>
      </c>
      <c r="I19" s="154" t="s">
        <v>508</v>
      </c>
      <c r="J19" s="206">
        <v>2.5283691316775922E-2</v>
      </c>
      <c r="K19" s="154" t="s">
        <v>508</v>
      </c>
    </row>
    <row r="20" spans="1:11" s="142" customFormat="1" ht="12.75" customHeight="1" x14ac:dyDescent="0.25">
      <c r="A20" s="151"/>
      <c r="B20" s="152"/>
      <c r="C20" s="219"/>
      <c r="D20" s="206"/>
      <c r="E20" s="154"/>
      <c r="F20" s="206"/>
      <c r="G20" s="154"/>
      <c r="H20" s="206"/>
      <c r="I20" s="154"/>
      <c r="J20" s="206"/>
      <c r="K20" s="154"/>
    </row>
    <row r="21" spans="1:11" s="142" customFormat="1" ht="12.75" customHeight="1" x14ac:dyDescent="0.25">
      <c r="A21" s="151">
        <v>2010</v>
      </c>
      <c r="B21" s="152" t="s">
        <v>1</v>
      </c>
      <c r="C21" s="219"/>
      <c r="D21" s="206">
        <v>0.67156681635196047</v>
      </c>
      <c r="E21" s="154" t="s">
        <v>508</v>
      </c>
      <c r="F21" s="206">
        <v>0.49253355753044242</v>
      </c>
      <c r="G21" s="154" t="s">
        <v>508</v>
      </c>
      <c r="H21" s="206">
        <v>0.14829793541868236</v>
      </c>
      <c r="I21" s="154" t="s">
        <v>508</v>
      </c>
      <c r="J21" s="206">
        <v>3.0735323402835718E-2</v>
      </c>
      <c r="K21" s="154" t="s">
        <v>508</v>
      </c>
    </row>
    <row r="22" spans="1:11" s="142" customFormat="1" ht="12.75" customHeight="1" x14ac:dyDescent="0.25">
      <c r="A22" s="151"/>
      <c r="B22" s="152" t="s">
        <v>2</v>
      </c>
      <c r="C22" s="219"/>
      <c r="D22" s="206">
        <v>0.74549181537782239</v>
      </c>
      <c r="E22" s="154" t="s">
        <v>508</v>
      </c>
      <c r="F22" s="206">
        <v>0.54833695511261316</v>
      </c>
      <c r="G22" s="154" t="s">
        <v>508</v>
      </c>
      <c r="H22" s="206">
        <v>0.16326886865712639</v>
      </c>
      <c r="I22" s="154" t="s">
        <v>508</v>
      </c>
      <c r="J22" s="206">
        <v>3.3885991608082838E-2</v>
      </c>
      <c r="K22" s="154" t="s">
        <v>508</v>
      </c>
    </row>
    <row r="23" spans="1:11" s="142" customFormat="1" ht="12.75" customHeight="1" x14ac:dyDescent="0.25">
      <c r="A23" s="151"/>
      <c r="B23" s="152" t="s">
        <v>3</v>
      </c>
      <c r="C23" s="219"/>
      <c r="D23" s="206">
        <v>0.783674980572034</v>
      </c>
      <c r="E23" s="154" t="s">
        <v>508</v>
      </c>
      <c r="F23" s="206">
        <v>0.56770156072934752</v>
      </c>
      <c r="G23" s="154" t="s">
        <v>508</v>
      </c>
      <c r="H23" s="206">
        <v>0.18126340593939763</v>
      </c>
      <c r="I23" s="154" t="s">
        <v>508</v>
      </c>
      <c r="J23" s="206">
        <v>3.4710013903288907E-2</v>
      </c>
      <c r="K23" s="154" t="s">
        <v>508</v>
      </c>
    </row>
    <row r="24" spans="1:11" s="142" customFormat="1" ht="12.75" customHeight="1" x14ac:dyDescent="0.25">
      <c r="A24" s="151"/>
      <c r="B24" s="152" t="s">
        <v>4</v>
      </c>
      <c r="C24" s="219"/>
      <c r="D24" s="206">
        <v>0.82486661078970491</v>
      </c>
      <c r="E24" s="154" t="s">
        <v>508</v>
      </c>
      <c r="F24" s="206">
        <v>0.59795163235684934</v>
      </c>
      <c r="G24" s="154" t="s">
        <v>508</v>
      </c>
      <c r="H24" s="206">
        <v>0.19318437353067441</v>
      </c>
      <c r="I24" s="154" t="s">
        <v>508</v>
      </c>
      <c r="J24" s="206">
        <v>3.3730604902181244E-2</v>
      </c>
      <c r="K24" s="154" t="s">
        <v>508</v>
      </c>
    </row>
    <row r="25" spans="1:11" s="142" customFormat="1" ht="12.75" customHeight="1" x14ac:dyDescent="0.25">
      <c r="A25" s="151"/>
      <c r="B25" s="152"/>
      <c r="C25" s="219"/>
      <c r="D25" s="206"/>
      <c r="E25" s="154"/>
      <c r="F25" s="206"/>
      <c r="G25" s="154"/>
      <c r="H25" s="206"/>
      <c r="I25" s="154"/>
      <c r="J25" s="206"/>
      <c r="K25" s="154"/>
    </row>
    <row r="26" spans="1:11" s="142" customFormat="1" ht="12.75" customHeight="1" x14ac:dyDescent="0.25">
      <c r="A26" s="151">
        <v>2011</v>
      </c>
      <c r="B26" s="152" t="s">
        <v>1</v>
      </c>
      <c r="C26" s="219"/>
      <c r="D26" s="206">
        <v>0.79830708212425705</v>
      </c>
      <c r="E26" s="154" t="s">
        <v>508</v>
      </c>
      <c r="F26" s="206">
        <v>0.57402080667029909</v>
      </c>
      <c r="G26" s="154" t="s">
        <v>508</v>
      </c>
      <c r="H26" s="206">
        <v>0.19311428462815361</v>
      </c>
      <c r="I26" s="154" t="s">
        <v>508</v>
      </c>
      <c r="J26" s="206">
        <v>3.1171990825804324E-2</v>
      </c>
      <c r="K26" s="154" t="s">
        <v>508</v>
      </c>
    </row>
    <row r="27" spans="1:11" s="142" customFormat="1" ht="12.75" customHeight="1" x14ac:dyDescent="0.25">
      <c r="A27" s="151"/>
      <c r="B27" s="152" t="s">
        <v>2</v>
      </c>
      <c r="C27" s="219"/>
      <c r="D27" s="206">
        <v>0.82813708680194165</v>
      </c>
      <c r="E27" s="154" t="s">
        <v>508</v>
      </c>
      <c r="F27" s="206">
        <v>0.60454007336541737</v>
      </c>
      <c r="G27" s="154" t="s">
        <v>508</v>
      </c>
      <c r="H27" s="206">
        <v>0.19348293755281726</v>
      </c>
      <c r="I27" s="154" t="s">
        <v>508</v>
      </c>
      <c r="J27" s="206">
        <v>3.0114075883706966E-2</v>
      </c>
      <c r="K27" s="154" t="s">
        <v>508</v>
      </c>
    </row>
    <row r="28" spans="1:11" s="142" customFormat="1" ht="12.75" customHeight="1" x14ac:dyDescent="0.25">
      <c r="A28" s="151"/>
      <c r="B28" s="152" t="s">
        <v>3</v>
      </c>
      <c r="C28" s="219"/>
      <c r="D28" s="206">
        <v>0.9117120360513582</v>
      </c>
      <c r="E28" s="154" t="s">
        <v>508</v>
      </c>
      <c r="F28" s="206">
        <v>0.67410081096934571</v>
      </c>
      <c r="G28" s="154" t="s">
        <v>508</v>
      </c>
      <c r="H28" s="206">
        <v>0.20632698855083839</v>
      </c>
      <c r="I28" s="154" t="s">
        <v>508</v>
      </c>
      <c r="J28" s="206">
        <v>3.1284236531174049E-2</v>
      </c>
      <c r="K28" s="154" t="s">
        <v>508</v>
      </c>
    </row>
    <row r="29" spans="1:11" s="142" customFormat="1" ht="12.75" customHeight="1" x14ac:dyDescent="0.25">
      <c r="A29" s="151"/>
      <c r="B29" s="152" t="s">
        <v>4</v>
      </c>
      <c r="C29" s="219"/>
      <c r="D29" s="206">
        <v>0.90440243087282057</v>
      </c>
      <c r="E29" s="154" t="s">
        <v>508</v>
      </c>
      <c r="F29" s="206">
        <v>0.67922167916648779</v>
      </c>
      <c r="G29" s="154" t="s">
        <v>508</v>
      </c>
      <c r="H29" s="206">
        <v>0.19795301375491353</v>
      </c>
      <c r="I29" s="154" t="s">
        <v>508</v>
      </c>
      <c r="J29" s="206">
        <v>2.7227737951419338E-2</v>
      </c>
      <c r="K29" s="154" t="s">
        <v>508</v>
      </c>
    </row>
    <row r="30" spans="1:11" s="142" customFormat="1" ht="12.75" customHeight="1" x14ac:dyDescent="0.25">
      <c r="A30" s="151"/>
      <c r="B30" s="152"/>
      <c r="C30" s="219"/>
      <c r="D30" s="206"/>
      <c r="E30" s="154"/>
      <c r="F30" s="206"/>
      <c r="G30" s="154"/>
      <c r="H30" s="206"/>
      <c r="I30" s="154"/>
      <c r="J30" s="206"/>
      <c r="K30" s="154"/>
    </row>
    <row r="31" spans="1:11" s="142" customFormat="1" ht="12.75" customHeight="1" x14ac:dyDescent="0.25">
      <c r="A31" s="151">
        <v>2012</v>
      </c>
      <c r="B31" s="152" t="s">
        <v>1</v>
      </c>
      <c r="C31" s="219"/>
      <c r="D31" s="206">
        <v>0.9718797235332437</v>
      </c>
      <c r="E31" s="154" t="s">
        <v>508</v>
      </c>
      <c r="F31" s="206">
        <v>0.76139046302193625</v>
      </c>
      <c r="G31" s="154" t="s">
        <v>508</v>
      </c>
      <c r="H31" s="206">
        <v>0.18290790913396371</v>
      </c>
      <c r="I31" s="154" t="s">
        <v>508</v>
      </c>
      <c r="J31" s="206">
        <v>2.7581351377343733E-2</v>
      </c>
      <c r="K31" s="154" t="s">
        <v>508</v>
      </c>
    </row>
    <row r="32" spans="1:11" s="142" customFormat="1" ht="12.75" customHeight="1" x14ac:dyDescent="0.25">
      <c r="A32" s="151"/>
      <c r="B32" s="152" t="s">
        <v>2</v>
      </c>
      <c r="C32" s="219"/>
      <c r="D32" s="206">
        <v>0.99166999585018034</v>
      </c>
      <c r="E32" s="154" t="s">
        <v>508</v>
      </c>
      <c r="F32" s="206">
        <v>0.79162129351729082</v>
      </c>
      <c r="G32" s="154" t="s">
        <v>508</v>
      </c>
      <c r="H32" s="206">
        <v>0.1750426145412782</v>
      </c>
      <c r="I32" s="154" t="s">
        <v>508</v>
      </c>
      <c r="J32" s="206">
        <v>2.5006087791611176E-2</v>
      </c>
      <c r="K32" s="154" t="s">
        <v>508</v>
      </c>
    </row>
    <row r="33" spans="1:11" s="142" customFormat="1" ht="12.75" customHeight="1" x14ac:dyDescent="0.25">
      <c r="A33" s="151"/>
      <c r="B33" s="152" t="s">
        <v>3</v>
      </c>
      <c r="C33" s="219"/>
      <c r="D33" s="206">
        <v>0.91357706328461086</v>
      </c>
      <c r="E33" s="154" t="s">
        <v>508</v>
      </c>
      <c r="F33" s="206">
        <v>0.7300176995299662</v>
      </c>
      <c r="G33" s="154" t="s">
        <v>508</v>
      </c>
      <c r="H33" s="206">
        <v>0.15894412340440497</v>
      </c>
      <c r="I33" s="154" t="s">
        <v>508</v>
      </c>
      <c r="J33" s="206">
        <v>2.4615240350239709E-2</v>
      </c>
      <c r="K33" s="154" t="s">
        <v>508</v>
      </c>
    </row>
    <row r="34" spans="1:11" s="142" customFormat="1" ht="12.75" customHeight="1" x14ac:dyDescent="0.25">
      <c r="A34" s="151"/>
      <c r="B34" s="152" t="s">
        <v>4</v>
      </c>
      <c r="C34" s="219"/>
      <c r="D34" s="206">
        <v>0.81713092026400502</v>
      </c>
      <c r="E34" s="154" t="s">
        <v>508</v>
      </c>
      <c r="F34" s="206">
        <v>0.63654567878313695</v>
      </c>
      <c r="G34" s="154" t="s">
        <v>508</v>
      </c>
      <c r="H34" s="206">
        <v>0.16121211212659881</v>
      </c>
      <c r="I34" s="154" t="s">
        <v>508</v>
      </c>
      <c r="J34" s="206">
        <v>1.9373129354269387E-2</v>
      </c>
      <c r="K34" s="154" t="s">
        <v>508</v>
      </c>
    </row>
    <row r="35" spans="1:11" s="142" customFormat="1" ht="12.75" customHeight="1" x14ac:dyDescent="0.25">
      <c r="A35" s="151"/>
      <c r="B35" s="152"/>
      <c r="C35" s="219"/>
      <c r="D35" s="206"/>
      <c r="E35" s="154"/>
      <c r="F35" s="206"/>
      <c r="G35" s="154"/>
      <c r="H35" s="206"/>
      <c r="I35" s="154"/>
      <c r="J35" s="206"/>
      <c r="K35" s="154"/>
    </row>
    <row r="36" spans="1:11" s="142" customFormat="1" ht="12.75" customHeight="1" x14ac:dyDescent="0.25">
      <c r="A36" s="151">
        <v>2013</v>
      </c>
      <c r="B36" s="152" t="s">
        <v>1</v>
      </c>
      <c r="C36" s="219"/>
      <c r="D36" s="206">
        <v>0.63239653781615579</v>
      </c>
      <c r="E36" s="154" t="s">
        <v>508</v>
      </c>
      <c r="F36" s="206">
        <v>0.45404573813065213</v>
      </c>
      <c r="G36" s="154" t="s">
        <v>508</v>
      </c>
      <c r="H36" s="206">
        <v>0.16065186536556808</v>
      </c>
      <c r="I36" s="154" t="s">
        <v>508</v>
      </c>
      <c r="J36" s="206">
        <v>1.7698934319935467E-2</v>
      </c>
      <c r="K36" s="154" t="s">
        <v>508</v>
      </c>
    </row>
    <row r="37" spans="1:11" s="142" customFormat="1" ht="12.75" customHeight="1" x14ac:dyDescent="0.25">
      <c r="A37" s="151"/>
      <c r="B37" s="152" t="s">
        <v>2</v>
      </c>
      <c r="C37" s="219"/>
      <c r="D37" s="206">
        <v>0.48750966050350297</v>
      </c>
      <c r="E37" s="154" t="s">
        <v>508</v>
      </c>
      <c r="F37" s="206">
        <v>0.29572456710047423</v>
      </c>
      <c r="G37" s="154" t="s">
        <v>508</v>
      </c>
      <c r="H37" s="206">
        <v>0.17367950766218329</v>
      </c>
      <c r="I37" s="154" t="s">
        <v>508</v>
      </c>
      <c r="J37" s="206">
        <v>1.8105585740845361E-2</v>
      </c>
      <c r="K37" s="154" t="s">
        <v>508</v>
      </c>
    </row>
    <row r="38" spans="1:11" s="142" customFormat="1" ht="12.75" customHeight="1" x14ac:dyDescent="0.25">
      <c r="A38" s="151"/>
      <c r="B38" s="152" t="s">
        <v>3</v>
      </c>
      <c r="C38" s="219"/>
      <c r="D38" s="206">
        <v>0.47485520763373718</v>
      </c>
      <c r="E38" s="154" t="s">
        <v>508</v>
      </c>
      <c r="F38" s="206">
        <v>0.27831791336310707</v>
      </c>
      <c r="G38" s="154" t="s">
        <v>508</v>
      </c>
      <c r="H38" s="206">
        <v>0.18070878734950555</v>
      </c>
      <c r="I38" s="154" t="s">
        <v>508</v>
      </c>
      <c r="J38" s="206">
        <v>1.5828506921124575E-2</v>
      </c>
      <c r="K38" s="154" t="s">
        <v>508</v>
      </c>
    </row>
    <row r="39" spans="1:11" s="142" customFormat="1" ht="12.75" customHeight="1" x14ac:dyDescent="0.25">
      <c r="A39" s="151"/>
      <c r="B39" s="152" t="s">
        <v>4</v>
      </c>
      <c r="C39" s="219"/>
      <c r="D39" s="206">
        <v>0.49808105668513092</v>
      </c>
      <c r="E39" s="154" t="s">
        <v>508</v>
      </c>
      <c r="F39" s="206">
        <v>0.31430408270613219</v>
      </c>
      <c r="G39" s="154" t="s">
        <v>508</v>
      </c>
      <c r="H39" s="206">
        <v>0.16754225896318614</v>
      </c>
      <c r="I39" s="154" t="s">
        <v>508</v>
      </c>
      <c r="J39" s="206">
        <v>1.6234715015812612E-2</v>
      </c>
      <c r="K39" s="154" t="s">
        <v>508</v>
      </c>
    </row>
    <row r="40" spans="1:11" s="142" customFormat="1" ht="12.75" customHeight="1" x14ac:dyDescent="0.25">
      <c r="A40" s="151"/>
      <c r="B40" s="152"/>
      <c r="C40" s="219"/>
      <c r="D40" s="206"/>
      <c r="E40" s="154"/>
      <c r="F40" s="206"/>
      <c r="G40" s="154"/>
      <c r="H40" s="206"/>
      <c r="I40" s="154"/>
      <c r="J40" s="206"/>
      <c r="K40" s="154"/>
    </row>
    <row r="41" spans="1:11" s="142" customFormat="1" ht="12.75" customHeight="1" x14ac:dyDescent="0.25">
      <c r="A41" s="151">
        <v>2014</v>
      </c>
      <c r="B41" s="152" t="s">
        <v>1</v>
      </c>
      <c r="C41" s="219"/>
      <c r="D41" s="206">
        <v>0.55769362985323767</v>
      </c>
      <c r="E41" s="154" t="s">
        <v>508</v>
      </c>
      <c r="F41" s="206">
        <v>0.38117592132170836</v>
      </c>
      <c r="G41" s="154" t="s">
        <v>508</v>
      </c>
      <c r="H41" s="206">
        <v>0.159249671827358</v>
      </c>
      <c r="I41" s="154" t="s">
        <v>508</v>
      </c>
      <c r="J41" s="206">
        <v>1.726803670417135E-2</v>
      </c>
      <c r="K41" s="154" t="s">
        <v>508</v>
      </c>
    </row>
    <row r="42" spans="1:11" s="142" customFormat="1" ht="12.75" customHeight="1" x14ac:dyDescent="0.25">
      <c r="A42" s="151"/>
      <c r="B42" s="152" t="s">
        <v>2</v>
      </c>
      <c r="C42" s="219"/>
      <c r="D42" s="206">
        <v>0.59180041635887437</v>
      </c>
      <c r="E42" s="154" t="s">
        <v>508</v>
      </c>
      <c r="F42" s="206">
        <v>0.43188838895977433</v>
      </c>
      <c r="G42" s="154" t="s">
        <v>508</v>
      </c>
      <c r="H42" s="206">
        <v>0.14354307971257807</v>
      </c>
      <c r="I42" s="154" t="s">
        <v>508</v>
      </c>
      <c r="J42" s="206">
        <v>1.636894768652206E-2</v>
      </c>
      <c r="K42" s="154" t="s">
        <v>508</v>
      </c>
    </row>
    <row r="43" spans="1:11" s="142" customFormat="1" ht="12.75" customHeight="1" x14ac:dyDescent="0.25">
      <c r="A43" s="151"/>
      <c r="B43" s="152" t="s">
        <v>3</v>
      </c>
      <c r="C43" s="219"/>
      <c r="D43" s="206">
        <v>0.55305088357792676</v>
      </c>
      <c r="E43" s="154" t="s">
        <v>508</v>
      </c>
      <c r="F43" s="206">
        <v>0.41587440179260482</v>
      </c>
      <c r="G43" s="154" t="s">
        <v>508</v>
      </c>
      <c r="H43" s="206">
        <v>0.12476232053778145</v>
      </c>
      <c r="I43" s="154" t="s">
        <v>508</v>
      </c>
      <c r="J43" s="206">
        <v>1.2414161247540443E-2</v>
      </c>
      <c r="K43" s="154" t="s">
        <v>508</v>
      </c>
    </row>
    <row r="44" spans="1:11" s="142" customFormat="1" ht="12.75" customHeight="1" x14ac:dyDescent="0.25">
      <c r="A44" s="151"/>
      <c r="B44" s="152" t="s">
        <v>4</v>
      </c>
      <c r="C44" s="219"/>
      <c r="D44" s="206">
        <v>0.53482916879143294</v>
      </c>
      <c r="E44" s="154" t="s">
        <v>508</v>
      </c>
      <c r="F44" s="206">
        <v>0.3977562468128506</v>
      </c>
      <c r="G44" s="154" t="s">
        <v>508</v>
      </c>
      <c r="H44" s="206">
        <v>0.12667006629270783</v>
      </c>
      <c r="I44" s="154" t="s">
        <v>508</v>
      </c>
      <c r="J44" s="206">
        <v>1.0402855685874554E-2</v>
      </c>
      <c r="K44" s="154" t="s">
        <v>508</v>
      </c>
    </row>
    <row r="45" spans="1:11" s="142" customFormat="1" ht="12.75" customHeight="1" x14ac:dyDescent="0.25">
      <c r="A45" s="151"/>
      <c r="B45" s="152"/>
      <c r="C45" s="219"/>
      <c r="D45" s="206"/>
      <c r="E45" s="154"/>
      <c r="F45" s="206"/>
      <c r="G45" s="154"/>
      <c r="H45" s="206"/>
      <c r="I45" s="154"/>
      <c r="J45" s="206"/>
      <c r="K45" s="154"/>
    </row>
    <row r="46" spans="1:11" s="142" customFormat="1" ht="12.75" customHeight="1" x14ac:dyDescent="0.25">
      <c r="A46" s="151">
        <v>2015</v>
      </c>
      <c r="B46" s="152" t="s">
        <v>1</v>
      </c>
      <c r="C46" s="219"/>
      <c r="D46" s="206">
        <v>0.50556391793937461</v>
      </c>
      <c r="E46" s="154" t="s">
        <v>508</v>
      </c>
      <c r="F46" s="206">
        <v>0.36801192117305315</v>
      </c>
      <c r="G46" s="154" t="s">
        <v>508</v>
      </c>
      <c r="H46" s="206">
        <v>0.12608933036912803</v>
      </c>
      <c r="I46" s="154" t="s">
        <v>508</v>
      </c>
      <c r="J46" s="206">
        <v>1.1462666397193459E-2</v>
      </c>
      <c r="K46" s="154" t="s">
        <v>508</v>
      </c>
    </row>
    <row r="47" spans="1:11" s="142" customFormat="1" ht="12.75" customHeight="1" x14ac:dyDescent="0.25">
      <c r="A47" s="151"/>
      <c r="B47" s="152" t="s">
        <v>2</v>
      </c>
      <c r="C47" s="219"/>
      <c r="D47" s="206">
        <v>0.46973224766385013</v>
      </c>
      <c r="E47" s="154" t="s">
        <v>508</v>
      </c>
      <c r="F47" s="206">
        <v>0.32524498667357721</v>
      </c>
      <c r="G47" s="154" t="s">
        <v>508</v>
      </c>
      <c r="H47" s="206">
        <v>0.13437909869877232</v>
      </c>
      <c r="I47" s="154" t="s">
        <v>508</v>
      </c>
      <c r="J47" s="206">
        <v>1.0108162291500572E-2</v>
      </c>
      <c r="K47" s="154" t="s">
        <v>508</v>
      </c>
    </row>
    <row r="48" spans="1:11" s="142" customFormat="1" ht="12.75" customHeight="1" x14ac:dyDescent="0.25">
      <c r="A48" s="151"/>
      <c r="B48" s="152" t="s">
        <v>3</v>
      </c>
      <c r="C48" s="219"/>
      <c r="D48" s="206">
        <v>0.47574083061302413</v>
      </c>
      <c r="E48" s="154" t="s">
        <v>508</v>
      </c>
      <c r="F48" s="206">
        <v>0.3304406754504256</v>
      </c>
      <c r="G48" s="154" t="s">
        <v>508</v>
      </c>
      <c r="H48" s="206">
        <v>0.13534006388129133</v>
      </c>
      <c r="I48" s="154" t="s">
        <v>508</v>
      </c>
      <c r="J48" s="206">
        <v>9.9600912813071554E-3</v>
      </c>
      <c r="K48" s="154" t="s">
        <v>508</v>
      </c>
    </row>
    <row r="49" spans="1:27" s="142" customFormat="1" ht="12.75" customHeight="1" x14ac:dyDescent="0.25">
      <c r="A49" s="151"/>
      <c r="B49" s="152" t="s">
        <v>4</v>
      </c>
      <c r="C49" s="219"/>
      <c r="D49" s="206">
        <v>0.49049698205699649</v>
      </c>
      <c r="E49" s="154" t="s">
        <v>508</v>
      </c>
      <c r="F49" s="206">
        <v>0.33277533764997635</v>
      </c>
      <c r="G49" s="154" t="s">
        <v>508</v>
      </c>
      <c r="H49" s="206">
        <v>0.14616694518306256</v>
      </c>
      <c r="I49" s="154" t="s">
        <v>508</v>
      </c>
      <c r="J49" s="206">
        <v>1.1554699223957514E-2</v>
      </c>
      <c r="K49" s="154" t="s">
        <v>508</v>
      </c>
    </row>
    <row r="50" spans="1:27" s="142" customFormat="1" ht="12.75" customHeight="1" x14ac:dyDescent="0.25">
      <c r="A50" s="151"/>
      <c r="B50" s="152"/>
      <c r="C50" s="219"/>
      <c r="D50" s="206"/>
      <c r="E50" s="154"/>
      <c r="F50" s="206"/>
      <c r="G50" s="154"/>
      <c r="H50" s="206"/>
      <c r="I50" s="154"/>
      <c r="J50" s="206"/>
      <c r="K50" s="154"/>
    </row>
    <row r="51" spans="1:27" s="142" customFormat="1" ht="12.75" customHeight="1" x14ac:dyDescent="0.25">
      <c r="A51" s="151">
        <v>2016</v>
      </c>
      <c r="B51" s="152" t="s">
        <v>1</v>
      </c>
      <c r="C51" s="219"/>
      <c r="D51" s="206">
        <v>0.4992330086482431</v>
      </c>
      <c r="E51" s="154" t="s">
        <v>508</v>
      </c>
      <c r="F51" s="206">
        <v>0.32940260159667178</v>
      </c>
      <c r="G51" s="154" t="s">
        <v>508</v>
      </c>
      <c r="H51" s="206">
        <v>0.16071199593470839</v>
      </c>
      <c r="I51" s="154" t="s">
        <v>508</v>
      </c>
      <c r="J51" s="206">
        <v>9.1184111168628873E-3</v>
      </c>
      <c r="K51" s="154" t="s">
        <v>508</v>
      </c>
    </row>
    <row r="52" spans="1:27" s="142" customFormat="1" ht="12.75" customHeight="1" x14ac:dyDescent="0.25">
      <c r="A52" s="151"/>
      <c r="B52" s="152" t="s">
        <v>2</v>
      </c>
      <c r="C52" s="219"/>
      <c r="D52" s="206">
        <v>0.52428600524285995</v>
      </c>
      <c r="E52" s="154" t="s">
        <v>508</v>
      </c>
      <c r="F52" s="206">
        <v>0.35309057495947715</v>
      </c>
      <c r="G52" s="154" t="s">
        <v>508</v>
      </c>
      <c r="H52" s="206">
        <v>0.16274828734176858</v>
      </c>
      <c r="I52" s="154" t="s">
        <v>508</v>
      </c>
      <c r="J52" s="206">
        <v>8.447142941614286E-3</v>
      </c>
      <c r="K52" s="154" t="s">
        <v>508</v>
      </c>
    </row>
    <row r="53" spans="1:27" s="142" customFormat="1" ht="12.75" customHeight="1" x14ac:dyDescent="0.25">
      <c r="A53" s="151"/>
      <c r="B53" s="152" t="s">
        <v>3</v>
      </c>
      <c r="C53" s="219"/>
      <c r="D53" s="206">
        <v>0.5079237780172593</v>
      </c>
      <c r="E53" s="154" t="s">
        <v>508</v>
      </c>
      <c r="F53" s="206">
        <v>0.33750198407725784</v>
      </c>
      <c r="G53" s="154" t="s">
        <v>508</v>
      </c>
      <c r="H53" s="206">
        <v>0.16262471840026285</v>
      </c>
      <c r="I53" s="154" t="s">
        <v>508</v>
      </c>
      <c r="J53" s="206">
        <v>7.7970755397386302E-3</v>
      </c>
      <c r="K53" s="154" t="s">
        <v>508</v>
      </c>
    </row>
    <row r="54" spans="1:27" s="142" customFormat="1" ht="12.75" customHeight="1" x14ac:dyDescent="0.25">
      <c r="A54" s="152"/>
      <c r="B54" s="152" t="s">
        <v>4</v>
      </c>
      <c r="C54" s="219" t="s">
        <v>197</v>
      </c>
      <c r="D54" s="206">
        <v>0.48678034358212147</v>
      </c>
      <c r="E54" s="154" t="s">
        <v>508</v>
      </c>
      <c r="F54" s="206">
        <v>0.3254379898835224</v>
      </c>
      <c r="G54" s="154" t="s">
        <v>508</v>
      </c>
      <c r="H54" s="206">
        <v>0.15528513222868581</v>
      </c>
      <c r="I54" s="154" t="s">
        <v>508</v>
      </c>
      <c r="J54" s="206">
        <v>6.0572214699132765E-3</v>
      </c>
      <c r="K54" s="154" t="s">
        <v>508</v>
      </c>
    </row>
    <row r="55" spans="1:27" s="142" customFormat="1" ht="12.75" customHeight="1" x14ac:dyDescent="0.25">
      <c r="A55" s="151"/>
      <c r="B55" s="152"/>
      <c r="C55" s="219"/>
      <c r="D55" s="206"/>
      <c r="E55" s="154"/>
      <c r="F55" s="206"/>
      <c r="G55" s="154"/>
      <c r="H55" s="206"/>
      <c r="I55" s="154"/>
      <c r="J55" s="206"/>
      <c r="K55" s="154"/>
    </row>
    <row r="56" spans="1:27" s="142" customFormat="1" ht="12.75" customHeight="1" x14ac:dyDescent="0.25">
      <c r="A56" s="151">
        <v>2017</v>
      </c>
      <c r="B56" s="152" t="s">
        <v>1</v>
      </c>
      <c r="C56" s="219" t="s">
        <v>415</v>
      </c>
      <c r="D56" s="206">
        <v>0.43959690922024597</v>
      </c>
      <c r="E56" s="154" t="s">
        <v>508</v>
      </c>
      <c r="F56" s="206">
        <v>0.29161379126491566</v>
      </c>
      <c r="G56" s="154" t="s">
        <v>508</v>
      </c>
      <c r="H56" s="206">
        <v>0.14308661772886719</v>
      </c>
      <c r="I56" s="154" t="s">
        <v>508</v>
      </c>
      <c r="J56" s="206">
        <v>4.8965002264631354E-3</v>
      </c>
      <c r="K56" s="154" t="s">
        <v>508</v>
      </c>
      <c r="AA56" s="142" t="s">
        <v>508</v>
      </c>
    </row>
    <row r="57" spans="1:27" s="142" customFormat="1" ht="12.75" customHeight="1" thickBot="1" x14ac:dyDescent="0.3">
      <c r="A57" s="152"/>
      <c r="B57" s="156"/>
      <c r="C57" s="220"/>
      <c r="D57" s="206"/>
      <c r="E57" s="154"/>
      <c r="F57" s="206"/>
      <c r="G57" s="154"/>
      <c r="H57" s="206"/>
      <c r="I57" s="154"/>
      <c r="J57" s="206"/>
      <c r="K57" s="154"/>
    </row>
    <row r="58" spans="1:27" s="142" customFormat="1" ht="12.75" customHeight="1" x14ac:dyDescent="0.2">
      <c r="A58" s="159" t="s">
        <v>510</v>
      </c>
      <c r="B58" s="159"/>
      <c r="C58" s="221"/>
      <c r="D58" s="207"/>
      <c r="E58" s="221"/>
      <c r="F58" s="207"/>
      <c r="G58" s="221"/>
      <c r="H58" s="207"/>
      <c r="I58" s="221"/>
      <c r="J58" s="207"/>
      <c r="K58" s="221"/>
    </row>
    <row r="59" spans="1:27" s="142" customFormat="1" ht="12.75" customHeight="1" x14ac:dyDescent="0.2">
      <c r="A59" s="160"/>
      <c r="B59" s="160"/>
      <c r="C59" s="161"/>
      <c r="D59" s="208"/>
      <c r="E59" s="161"/>
      <c r="F59" s="208"/>
      <c r="G59" s="161"/>
      <c r="H59" s="208"/>
      <c r="I59" s="161"/>
      <c r="J59" s="208"/>
      <c r="K59" s="161"/>
    </row>
    <row r="60" spans="1:27" s="142" customFormat="1" ht="12.75" customHeight="1" x14ac:dyDescent="0.2">
      <c r="A60" s="162">
        <v>2016</v>
      </c>
      <c r="B60" s="163" t="s">
        <v>4</v>
      </c>
      <c r="C60" s="222"/>
      <c r="D60" s="209">
        <v>-4.7183434361875498E-2</v>
      </c>
      <c r="E60" s="161"/>
      <c r="F60" s="209">
        <v>-3.3824198618606749E-2</v>
      </c>
      <c r="G60" s="161"/>
      <c r="H60" s="209">
        <v>-1.2198514499818625E-2</v>
      </c>
      <c r="I60" s="161"/>
      <c r="J60" s="209">
        <v>-1.1607212434501411E-3</v>
      </c>
      <c r="K60" s="161"/>
    </row>
    <row r="61" spans="1:27" s="142" customFormat="1" ht="12.75" customHeight="1" x14ac:dyDescent="0.2">
      <c r="A61" s="165"/>
      <c r="B61" s="166"/>
      <c r="C61" s="223"/>
      <c r="D61" s="210"/>
      <c r="E61" s="281"/>
      <c r="F61" s="210"/>
      <c r="G61" s="281"/>
      <c r="H61" s="210"/>
      <c r="I61" s="281"/>
      <c r="J61" s="210"/>
      <c r="K61" s="281"/>
    </row>
    <row r="62" spans="1:27" s="142" customFormat="1" ht="12.75" customHeight="1" thickBot="1" x14ac:dyDescent="0.25">
      <c r="A62" s="157">
        <v>2016</v>
      </c>
      <c r="B62" s="158" t="s">
        <v>1</v>
      </c>
      <c r="C62" s="224"/>
      <c r="D62" s="211">
        <v>-5.9636099427997136E-2</v>
      </c>
      <c r="E62" s="282"/>
      <c r="F62" s="211">
        <v>-3.7788810331756129E-2</v>
      </c>
      <c r="G62" s="282"/>
      <c r="H62" s="211">
        <v>-1.7625378205841202E-2</v>
      </c>
      <c r="I62" s="282"/>
      <c r="J62" s="211">
        <v>-4.2219108903997519E-3</v>
      </c>
      <c r="K62" s="282"/>
    </row>
    <row r="63" spans="1:27" s="169" customFormat="1" ht="12.75" customHeight="1" x14ac:dyDescent="0.2">
      <c r="A63" s="342"/>
      <c r="B63" s="342"/>
      <c r="C63" s="342"/>
      <c r="D63" s="342"/>
      <c r="E63" s="342"/>
      <c r="F63" s="342"/>
      <c r="G63" s="342"/>
      <c r="H63" s="342"/>
      <c r="I63" s="342"/>
    </row>
    <row r="64" spans="1:27" s="169" customFormat="1" ht="15" x14ac:dyDescent="0.2">
      <c r="A64" s="340" t="s">
        <v>266</v>
      </c>
      <c r="B64" s="340"/>
      <c r="C64" s="340"/>
      <c r="D64" s="340"/>
      <c r="E64" s="340"/>
      <c r="F64" s="340"/>
      <c r="G64" s="340"/>
      <c r="H64" s="340"/>
      <c r="I64" s="340"/>
    </row>
    <row r="65" spans="1:15" s="170" customFormat="1" ht="49.5" customHeight="1" x14ac:dyDescent="0.3">
      <c r="A65" s="363" t="s">
        <v>235</v>
      </c>
      <c r="B65" s="363"/>
      <c r="C65" s="363"/>
      <c r="D65" s="363"/>
      <c r="E65" s="363"/>
      <c r="F65" s="363"/>
      <c r="G65" s="363"/>
      <c r="H65" s="363"/>
      <c r="I65" s="363"/>
      <c r="J65" s="363"/>
      <c r="K65" s="260"/>
    </row>
    <row r="66" spans="1:15" s="170" customFormat="1" ht="15" x14ac:dyDescent="0.3">
      <c r="A66" s="340" t="s">
        <v>481</v>
      </c>
      <c r="B66" s="340"/>
      <c r="C66" s="340"/>
      <c r="D66" s="340"/>
      <c r="E66" s="340"/>
      <c r="F66" s="340"/>
      <c r="G66" s="340"/>
      <c r="H66" s="340"/>
      <c r="I66" s="340"/>
      <c r="J66" s="340"/>
      <c r="K66" s="340"/>
      <c r="L66" s="340"/>
      <c r="M66" s="340"/>
      <c r="N66" s="340"/>
      <c r="O66" s="340"/>
    </row>
    <row r="67" spans="1:15" s="171" customFormat="1" ht="53.25" customHeight="1" x14ac:dyDescent="0.3">
      <c r="A67" s="363" t="s">
        <v>488</v>
      </c>
      <c r="B67" s="363"/>
      <c r="C67" s="363"/>
      <c r="D67" s="363"/>
      <c r="E67" s="363"/>
      <c r="F67" s="363"/>
      <c r="G67" s="363"/>
      <c r="H67" s="363"/>
      <c r="I67" s="363"/>
      <c r="J67" s="363"/>
      <c r="K67" s="260"/>
      <c r="L67" s="260"/>
      <c r="M67" s="260"/>
      <c r="N67" s="260"/>
      <c r="O67" s="260"/>
    </row>
    <row r="68" spans="1:15" s="171" customFormat="1" ht="27.75" customHeight="1" x14ac:dyDescent="0.3">
      <c r="A68" s="345"/>
      <c r="B68" s="345"/>
      <c r="C68" s="345"/>
      <c r="D68" s="345"/>
      <c r="E68" s="345"/>
      <c r="F68" s="345"/>
      <c r="G68" s="345"/>
      <c r="H68" s="345"/>
      <c r="I68" s="345"/>
    </row>
    <row r="69" spans="1:15" ht="12.75" customHeight="1" x14ac:dyDescent="0.3">
      <c r="A69" s="345"/>
      <c r="B69" s="345"/>
      <c r="C69" s="345"/>
      <c r="D69" s="345"/>
      <c r="E69" s="345"/>
      <c r="F69" s="345"/>
      <c r="G69" s="345"/>
      <c r="H69" s="345"/>
      <c r="I69" s="345"/>
    </row>
    <row r="70" spans="1:15" ht="12.75" customHeight="1" x14ac:dyDescent="0.3">
      <c r="A70" s="345"/>
      <c r="B70" s="345"/>
      <c r="C70" s="345"/>
      <c r="D70" s="345"/>
      <c r="E70" s="345"/>
      <c r="F70" s="345"/>
      <c r="G70" s="345"/>
      <c r="H70" s="345"/>
      <c r="I70" s="345"/>
    </row>
    <row r="71" spans="1:15" ht="12.75" customHeight="1" x14ac:dyDescent="0.3">
      <c r="A71" s="345"/>
      <c r="B71" s="345"/>
      <c r="C71" s="345"/>
      <c r="D71" s="345"/>
      <c r="E71" s="345"/>
      <c r="F71" s="345"/>
      <c r="G71" s="345"/>
      <c r="H71" s="345"/>
      <c r="I71" s="345"/>
    </row>
    <row r="72" spans="1:15" ht="12.75" customHeight="1" x14ac:dyDescent="0.3">
      <c r="A72" s="345"/>
      <c r="B72" s="345"/>
      <c r="C72" s="345"/>
      <c r="D72" s="345"/>
      <c r="E72" s="345"/>
      <c r="F72" s="345"/>
      <c r="G72" s="345"/>
      <c r="H72" s="345"/>
      <c r="I72" s="345"/>
    </row>
    <row r="73" spans="1:15" ht="12.75" customHeight="1" x14ac:dyDescent="0.3">
      <c r="A73" s="345"/>
      <c r="B73" s="345"/>
      <c r="C73" s="345"/>
      <c r="D73" s="345"/>
      <c r="E73" s="345"/>
      <c r="F73" s="345"/>
      <c r="G73" s="345"/>
      <c r="H73" s="345"/>
      <c r="I73" s="345"/>
    </row>
    <row r="74" spans="1:15" ht="12.75" customHeight="1" x14ac:dyDescent="0.3">
      <c r="A74" s="345"/>
      <c r="B74" s="345"/>
      <c r="C74" s="345"/>
      <c r="D74" s="345"/>
      <c r="E74" s="345"/>
      <c r="F74" s="345"/>
      <c r="G74" s="345"/>
      <c r="H74" s="345"/>
      <c r="I74" s="345"/>
    </row>
  </sheetData>
  <dataConsolidate/>
  <mergeCells count="16">
    <mergeCell ref="A71:I71"/>
    <mergeCell ref="A72:I72"/>
    <mergeCell ref="A73:I73"/>
    <mergeCell ref="A74:I74"/>
    <mergeCell ref="A64:I64"/>
    <mergeCell ref="A68:I68"/>
    <mergeCell ref="A69:I69"/>
    <mergeCell ref="A70:I70"/>
    <mergeCell ref="A67:J67"/>
    <mergeCell ref="A65:J65"/>
    <mergeCell ref="J5:K5"/>
    <mergeCell ref="A66:O66"/>
    <mergeCell ref="D5:E5"/>
    <mergeCell ref="F5:G5"/>
    <mergeCell ref="H5:I5"/>
    <mergeCell ref="A63:I63"/>
  </mergeCells>
  <hyperlinks>
    <hyperlink ref="A3" location="'Table Contents'!A1" display="Back to contents"/>
  </hyperlinks>
  <printOptions horizontalCentered="1" verticalCentered="1" gridLinesSet="0"/>
  <pageMargins left="0.19685039370078741" right="0.19685039370078741" top="0.19685039370078741" bottom="0.19685039370078741" header="0.39370078740157483" footer="0.39370078740157483"/>
  <pageSetup paperSize="9" scale="44"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AA84"/>
  <sheetViews>
    <sheetView showGridLines="0" zoomScaleNormal="100" workbookViewId="0">
      <pane xSplit="3" ySplit="5" topLeftCell="D6" activePane="bottomRight" state="frozen"/>
      <selection pane="topRight"/>
      <selection pane="bottomLeft"/>
      <selection pane="bottomRight" activeCell="D6" sqref="D6"/>
    </sheetView>
  </sheetViews>
  <sheetFormatPr defaultColWidth="8.85546875" defaultRowHeight="12.75" customHeight="1" x14ac:dyDescent="0.3"/>
  <cols>
    <col min="1" max="1" width="7.42578125" style="131" customWidth="1"/>
    <col min="2" max="2" width="4.85546875" style="131" customWidth="1"/>
    <col min="3" max="3" width="4.85546875" style="174" customWidth="1"/>
    <col min="4" max="4" width="12.85546875" style="172" customWidth="1"/>
    <col min="5" max="5" width="3.85546875" style="174" customWidth="1"/>
    <col min="6" max="6" width="12.85546875" style="172" customWidth="1"/>
    <col min="7" max="7" width="3.85546875" style="174" customWidth="1"/>
    <col min="8" max="8" width="9.5703125" style="172" customWidth="1"/>
    <col min="9" max="9" width="3.85546875" style="174" customWidth="1"/>
    <col min="10" max="10" width="12.85546875" style="173" customWidth="1"/>
    <col min="11" max="11" width="3.85546875" style="174" customWidth="1"/>
    <col min="12" max="16384" width="8.85546875" style="134"/>
  </cols>
  <sheetData>
    <row r="1" spans="1:16" ht="12.75" customHeight="1" x14ac:dyDescent="0.3">
      <c r="B1" s="132"/>
      <c r="C1" s="133"/>
      <c r="D1" s="132"/>
      <c r="E1" s="133"/>
      <c r="F1" s="132"/>
      <c r="G1" s="133"/>
      <c r="H1" s="132"/>
      <c r="I1" s="133"/>
      <c r="J1" s="132"/>
      <c r="K1" s="133"/>
    </row>
    <row r="2" spans="1:16" s="136" customFormat="1" ht="31.5" customHeight="1" x14ac:dyDescent="0.3">
      <c r="A2" s="193" t="s">
        <v>192</v>
      </c>
      <c r="B2" s="194"/>
      <c r="C2" s="194"/>
      <c r="D2" s="195" t="s">
        <v>170</v>
      </c>
      <c r="E2" s="133"/>
      <c r="F2" s="132"/>
      <c r="G2" s="133"/>
      <c r="H2" s="132"/>
      <c r="I2" s="133"/>
      <c r="J2" s="132"/>
      <c r="K2" s="133"/>
      <c r="L2" s="132"/>
      <c r="M2" s="132"/>
      <c r="N2" s="132"/>
    </row>
    <row r="3" spans="1:16" s="136" customFormat="1" ht="17.25" x14ac:dyDescent="0.3">
      <c r="A3" s="196" t="s">
        <v>154</v>
      </c>
      <c r="B3" s="197"/>
      <c r="C3" s="214"/>
      <c r="D3" s="198" t="s">
        <v>187</v>
      </c>
      <c r="E3" s="283"/>
      <c r="F3" s="188"/>
      <c r="G3" s="283"/>
      <c r="H3" s="188"/>
      <c r="I3" s="283"/>
      <c r="J3" s="188"/>
      <c r="K3" s="283"/>
      <c r="L3" s="132"/>
      <c r="M3" s="132"/>
      <c r="N3" s="132"/>
    </row>
    <row r="4" spans="1:16" ht="10.5" customHeight="1" thickBot="1" x14ac:dyDescent="0.35">
      <c r="A4" s="137"/>
      <c r="B4" s="137"/>
      <c r="C4" s="215"/>
      <c r="D4" s="137"/>
      <c r="E4" s="215"/>
      <c r="F4" s="137"/>
      <c r="G4" s="215"/>
      <c r="H4" s="137"/>
      <c r="I4" s="215"/>
      <c r="J4" s="337"/>
      <c r="K4" s="337"/>
    </row>
    <row r="5" spans="1:16" ht="30.75" customHeight="1" thickBot="1" x14ac:dyDescent="0.35">
      <c r="A5" s="231"/>
      <c r="B5" s="231"/>
      <c r="C5" s="232"/>
      <c r="D5" s="346" t="s">
        <v>123</v>
      </c>
      <c r="E5" s="346"/>
      <c r="F5" s="347" t="s">
        <v>404</v>
      </c>
      <c r="G5" s="347"/>
      <c r="H5" s="347"/>
      <c r="I5" s="347"/>
      <c r="J5" s="347" t="s">
        <v>16</v>
      </c>
      <c r="K5" s="347"/>
    </row>
    <row r="6" spans="1:16" s="146" customFormat="1" ht="12.75" customHeight="1" x14ac:dyDescent="0.25">
      <c r="A6" s="143">
        <v>2007</v>
      </c>
      <c r="B6" s="143"/>
      <c r="C6" s="213"/>
      <c r="D6" s="144">
        <v>13924</v>
      </c>
      <c r="E6" s="145" t="s">
        <v>508</v>
      </c>
      <c r="F6" s="144">
        <v>6331</v>
      </c>
      <c r="G6" s="145" t="s">
        <v>508</v>
      </c>
      <c r="H6" s="144" t="s">
        <v>207</v>
      </c>
      <c r="I6" s="145" t="s">
        <v>508</v>
      </c>
      <c r="J6" s="144">
        <v>7593</v>
      </c>
      <c r="K6" s="145" t="s">
        <v>508</v>
      </c>
    </row>
    <row r="7" spans="1:16" s="146" customFormat="1" ht="12.75" customHeight="1" x14ac:dyDescent="0.25">
      <c r="A7" s="143">
        <v>2008</v>
      </c>
      <c r="B7" s="143"/>
      <c r="C7" s="213"/>
      <c r="D7" s="144">
        <v>19991</v>
      </c>
      <c r="E7" s="145" t="s">
        <v>508</v>
      </c>
      <c r="F7" s="144">
        <v>12449</v>
      </c>
      <c r="G7" s="145" t="s">
        <v>508</v>
      </c>
      <c r="H7" s="144" t="s">
        <v>514</v>
      </c>
      <c r="I7" s="145" t="s">
        <v>508</v>
      </c>
      <c r="J7" s="144">
        <v>7542</v>
      </c>
      <c r="K7" s="145" t="s">
        <v>508</v>
      </c>
    </row>
    <row r="8" spans="1:16" s="146" customFormat="1" ht="12.75" customHeight="1" x14ac:dyDescent="0.25">
      <c r="A8" s="143">
        <v>2009</v>
      </c>
      <c r="B8" s="143"/>
      <c r="C8" s="213"/>
      <c r="D8" s="144">
        <v>23541</v>
      </c>
      <c r="E8" s="145" t="s">
        <v>508</v>
      </c>
      <c r="F8" s="144">
        <v>14415</v>
      </c>
      <c r="G8" s="145" t="s">
        <v>508</v>
      </c>
      <c r="H8" s="144" t="s">
        <v>515</v>
      </c>
      <c r="I8" s="145" t="s">
        <v>508</v>
      </c>
      <c r="J8" s="144">
        <v>9126</v>
      </c>
      <c r="K8" s="145" t="s">
        <v>508</v>
      </c>
    </row>
    <row r="9" spans="1:16" s="146" customFormat="1" ht="12.75" customHeight="1" x14ac:dyDescent="0.25">
      <c r="A9" s="143">
        <v>2010</v>
      </c>
      <c r="B9" s="143"/>
      <c r="C9" s="213"/>
      <c r="D9" s="144">
        <v>20344</v>
      </c>
      <c r="E9" s="145" t="s">
        <v>508</v>
      </c>
      <c r="F9" s="144">
        <v>11906</v>
      </c>
      <c r="G9" s="145" t="s">
        <v>508</v>
      </c>
      <c r="H9" s="144" t="s">
        <v>516</v>
      </c>
      <c r="I9" s="145" t="s">
        <v>508</v>
      </c>
      <c r="J9" s="144">
        <v>8438</v>
      </c>
      <c r="K9" s="145" t="s">
        <v>508</v>
      </c>
    </row>
    <row r="10" spans="1:16" s="146" customFormat="1" ht="12.75" customHeight="1" x14ac:dyDescent="0.25">
      <c r="A10" s="143">
        <v>2011</v>
      </c>
      <c r="B10" s="143"/>
      <c r="C10" s="213"/>
      <c r="D10" s="144">
        <v>19650</v>
      </c>
      <c r="E10" s="145" t="s">
        <v>508</v>
      </c>
      <c r="F10" s="144">
        <v>11128</v>
      </c>
      <c r="G10" s="145" t="s">
        <v>508</v>
      </c>
      <c r="H10" s="144" t="s">
        <v>517</v>
      </c>
      <c r="I10" s="145" t="s">
        <v>508</v>
      </c>
      <c r="J10" s="144">
        <v>8522</v>
      </c>
      <c r="K10" s="145" t="s">
        <v>508</v>
      </c>
    </row>
    <row r="11" spans="1:16" s="146" customFormat="1" ht="12.75" customHeight="1" x14ac:dyDescent="0.25">
      <c r="A11" s="143">
        <v>2012</v>
      </c>
      <c r="B11" s="143"/>
      <c r="C11" s="213"/>
      <c r="D11" s="144">
        <v>18402</v>
      </c>
      <c r="E11" s="145" t="s">
        <v>508</v>
      </c>
      <c r="F11" s="144">
        <v>9630</v>
      </c>
      <c r="G11" s="145" t="s">
        <v>508</v>
      </c>
      <c r="H11" s="144" t="s">
        <v>518</v>
      </c>
      <c r="I11" s="145" t="s">
        <v>508</v>
      </c>
      <c r="J11" s="144">
        <v>8772</v>
      </c>
      <c r="K11" s="145" t="s">
        <v>508</v>
      </c>
    </row>
    <row r="12" spans="1:16" s="146" customFormat="1" ht="12.75" customHeight="1" x14ac:dyDescent="0.25">
      <c r="A12" s="143">
        <v>2013</v>
      </c>
      <c r="B12" s="143"/>
      <c r="C12" s="213"/>
      <c r="D12" s="144">
        <v>14250</v>
      </c>
      <c r="E12" s="145" t="s">
        <v>508</v>
      </c>
      <c r="F12" s="144">
        <v>7189</v>
      </c>
      <c r="G12" s="145" t="s">
        <v>508</v>
      </c>
      <c r="H12" s="144" t="s">
        <v>519</v>
      </c>
      <c r="I12" s="145" t="s">
        <v>508</v>
      </c>
      <c r="J12" s="144">
        <v>7061</v>
      </c>
      <c r="K12" s="145" t="s">
        <v>508</v>
      </c>
    </row>
    <row r="13" spans="1:16" s="146" customFormat="1" ht="12.75" customHeight="1" x14ac:dyDescent="0.25">
      <c r="A13" s="143">
        <v>2014</v>
      </c>
      <c r="B13" s="143"/>
      <c r="C13" s="213"/>
      <c r="D13" s="144">
        <v>11622</v>
      </c>
      <c r="E13" s="145" t="s">
        <v>508</v>
      </c>
      <c r="F13" s="144">
        <v>6747</v>
      </c>
      <c r="G13" s="145" t="s">
        <v>508</v>
      </c>
      <c r="H13" s="144" t="s">
        <v>520</v>
      </c>
      <c r="I13" s="145" t="s">
        <v>508</v>
      </c>
      <c r="J13" s="144">
        <v>4875</v>
      </c>
      <c r="K13" s="145" t="s">
        <v>508</v>
      </c>
    </row>
    <row r="14" spans="1:16" s="146" customFormat="1" ht="12.75" customHeight="1" x14ac:dyDescent="0.25">
      <c r="A14" s="143">
        <v>2015</v>
      </c>
      <c r="B14" s="143"/>
      <c r="C14" s="213"/>
      <c r="D14" s="144">
        <v>8785</v>
      </c>
      <c r="E14" s="145" t="s">
        <v>508</v>
      </c>
      <c r="F14" s="144">
        <v>4477</v>
      </c>
      <c r="G14" s="145" t="s">
        <v>508</v>
      </c>
      <c r="H14" s="144" t="s">
        <v>521</v>
      </c>
      <c r="I14" s="145" t="s">
        <v>508</v>
      </c>
      <c r="J14" s="144">
        <v>4308</v>
      </c>
      <c r="K14" s="145" t="s">
        <v>508</v>
      </c>
      <c r="P14" s="147"/>
    </row>
    <row r="15" spans="1:16" s="146" customFormat="1" ht="12.75" customHeight="1" x14ac:dyDescent="0.25">
      <c r="A15" s="143">
        <v>2016</v>
      </c>
      <c r="B15" s="213" t="s">
        <v>508</v>
      </c>
      <c r="C15" s="217"/>
      <c r="D15" s="144">
        <v>9708</v>
      </c>
      <c r="E15" s="145" t="s">
        <v>508</v>
      </c>
      <c r="F15" s="144">
        <v>4401</v>
      </c>
      <c r="G15" s="145" t="s">
        <v>508</v>
      </c>
      <c r="H15" s="144" t="s">
        <v>522</v>
      </c>
      <c r="I15" s="145" t="s">
        <v>508</v>
      </c>
      <c r="J15" s="144">
        <v>5307</v>
      </c>
      <c r="K15" s="145" t="s">
        <v>508</v>
      </c>
    </row>
    <row r="16" spans="1:16" s="142" customFormat="1" ht="12.75" customHeight="1" x14ac:dyDescent="0.25">
      <c r="A16" s="148"/>
      <c r="B16" s="148"/>
      <c r="C16" s="218"/>
      <c r="D16" s="320"/>
      <c r="E16" s="154"/>
      <c r="F16" s="320"/>
      <c r="G16" s="154"/>
      <c r="H16" s="320"/>
      <c r="I16" s="154"/>
      <c r="J16" s="320"/>
      <c r="K16" s="154"/>
    </row>
    <row r="17" spans="1:11" s="142" customFormat="1" ht="12.75" customHeight="1" x14ac:dyDescent="0.25">
      <c r="A17" s="151">
        <v>2007</v>
      </c>
      <c r="B17" s="152" t="s">
        <v>1</v>
      </c>
      <c r="C17" s="219"/>
      <c r="D17" s="153">
        <v>3581</v>
      </c>
      <c r="E17" s="154" t="s">
        <v>508</v>
      </c>
      <c r="F17" s="153">
        <v>1617</v>
      </c>
      <c r="G17" s="154" t="s">
        <v>508</v>
      </c>
      <c r="H17" s="153" t="s">
        <v>207</v>
      </c>
      <c r="I17" s="154" t="s">
        <v>508</v>
      </c>
      <c r="J17" s="153">
        <v>1964</v>
      </c>
      <c r="K17" s="154" t="s">
        <v>508</v>
      </c>
    </row>
    <row r="18" spans="1:11" s="142" customFormat="1" ht="12.75" customHeight="1" x14ac:dyDescent="0.25">
      <c r="A18" s="151"/>
      <c r="B18" s="152" t="s">
        <v>2</v>
      </c>
      <c r="C18" s="219"/>
      <c r="D18" s="153">
        <v>3498</v>
      </c>
      <c r="E18" s="154" t="s">
        <v>508</v>
      </c>
      <c r="F18" s="153">
        <v>1606</v>
      </c>
      <c r="G18" s="154" t="s">
        <v>508</v>
      </c>
      <c r="H18" s="153" t="s">
        <v>207</v>
      </c>
      <c r="I18" s="154" t="s">
        <v>508</v>
      </c>
      <c r="J18" s="153">
        <v>1892</v>
      </c>
      <c r="K18" s="154" t="s">
        <v>508</v>
      </c>
    </row>
    <row r="19" spans="1:11" s="142" customFormat="1" ht="12.75" customHeight="1" x14ac:dyDescent="0.25">
      <c r="A19" s="151"/>
      <c r="B19" s="152" t="s">
        <v>3</v>
      </c>
      <c r="C19" s="219"/>
      <c r="D19" s="153">
        <v>3527</v>
      </c>
      <c r="E19" s="154" t="s">
        <v>508</v>
      </c>
      <c r="F19" s="153">
        <v>1545</v>
      </c>
      <c r="G19" s="154" t="s">
        <v>508</v>
      </c>
      <c r="H19" s="153" t="s">
        <v>207</v>
      </c>
      <c r="I19" s="154" t="s">
        <v>508</v>
      </c>
      <c r="J19" s="153">
        <v>1982</v>
      </c>
      <c r="K19" s="154" t="s">
        <v>508</v>
      </c>
    </row>
    <row r="20" spans="1:11" s="142" customFormat="1" ht="12.75" customHeight="1" x14ac:dyDescent="0.25">
      <c r="A20" s="151"/>
      <c r="B20" s="152" t="s">
        <v>4</v>
      </c>
      <c r="C20" s="219"/>
      <c r="D20" s="153">
        <v>3318</v>
      </c>
      <c r="E20" s="154" t="s">
        <v>508</v>
      </c>
      <c r="F20" s="153">
        <v>1563</v>
      </c>
      <c r="G20" s="154" t="s">
        <v>508</v>
      </c>
      <c r="H20" s="153" t="s">
        <v>207</v>
      </c>
      <c r="I20" s="154" t="s">
        <v>508</v>
      </c>
      <c r="J20" s="153">
        <v>1755</v>
      </c>
      <c r="K20" s="154" t="s">
        <v>508</v>
      </c>
    </row>
    <row r="21" spans="1:11" s="142" customFormat="1" ht="12.75" customHeight="1" x14ac:dyDescent="0.25">
      <c r="A21" s="151"/>
      <c r="B21" s="152"/>
      <c r="C21" s="219"/>
      <c r="D21" s="153"/>
      <c r="E21" s="154"/>
      <c r="F21" s="153"/>
      <c r="G21" s="154"/>
      <c r="H21" s="153"/>
      <c r="I21" s="154"/>
      <c r="J21" s="153"/>
      <c r="K21" s="154"/>
    </row>
    <row r="22" spans="1:11" s="142" customFormat="1" ht="12.75" customHeight="1" x14ac:dyDescent="0.25">
      <c r="A22" s="151">
        <v>2008</v>
      </c>
      <c r="B22" s="152" t="s">
        <v>1</v>
      </c>
      <c r="C22" s="219"/>
      <c r="D22" s="153">
        <v>3324</v>
      </c>
      <c r="E22" s="154" t="s">
        <v>508</v>
      </c>
      <c r="F22" s="153">
        <v>1444</v>
      </c>
      <c r="G22" s="154" t="s">
        <v>508</v>
      </c>
      <c r="H22" s="153" t="s">
        <v>207</v>
      </c>
      <c r="I22" s="154" t="s">
        <v>508</v>
      </c>
      <c r="J22" s="153">
        <v>1880</v>
      </c>
      <c r="K22" s="154" t="s">
        <v>508</v>
      </c>
    </row>
    <row r="23" spans="1:11" s="142" customFormat="1" ht="12.75" customHeight="1" x14ac:dyDescent="0.25">
      <c r="A23" s="151"/>
      <c r="B23" s="152" t="s">
        <v>2</v>
      </c>
      <c r="C23" s="219"/>
      <c r="D23" s="153">
        <v>4814</v>
      </c>
      <c r="E23" s="154" t="s">
        <v>508</v>
      </c>
      <c r="F23" s="153">
        <v>2932</v>
      </c>
      <c r="G23" s="154" t="s">
        <v>508</v>
      </c>
      <c r="H23" s="153" t="s">
        <v>523</v>
      </c>
      <c r="I23" s="154" t="s">
        <v>508</v>
      </c>
      <c r="J23" s="153">
        <v>1882</v>
      </c>
      <c r="K23" s="154" t="s">
        <v>508</v>
      </c>
    </row>
    <row r="24" spans="1:11" s="142" customFormat="1" ht="12.75" customHeight="1" x14ac:dyDescent="0.25">
      <c r="A24" s="151"/>
      <c r="B24" s="152" t="s">
        <v>3</v>
      </c>
      <c r="C24" s="219"/>
      <c r="D24" s="153">
        <v>6020</v>
      </c>
      <c r="E24" s="154" t="s">
        <v>508</v>
      </c>
      <c r="F24" s="153">
        <v>4077</v>
      </c>
      <c r="G24" s="154" t="s">
        <v>508</v>
      </c>
      <c r="H24" s="153" t="s">
        <v>524</v>
      </c>
      <c r="I24" s="154" t="s">
        <v>508</v>
      </c>
      <c r="J24" s="153">
        <v>1943</v>
      </c>
      <c r="K24" s="154" t="s">
        <v>508</v>
      </c>
    </row>
    <row r="25" spans="1:11" s="142" customFormat="1" ht="12.75" customHeight="1" x14ac:dyDescent="0.25">
      <c r="A25" s="151"/>
      <c r="B25" s="152" t="s">
        <v>4</v>
      </c>
      <c r="C25" s="219"/>
      <c r="D25" s="153">
        <v>5833</v>
      </c>
      <c r="E25" s="154" t="s">
        <v>508</v>
      </c>
      <c r="F25" s="153">
        <v>3996</v>
      </c>
      <c r="G25" s="154" t="s">
        <v>508</v>
      </c>
      <c r="H25" s="153" t="s">
        <v>525</v>
      </c>
      <c r="I25" s="154" t="s">
        <v>508</v>
      </c>
      <c r="J25" s="153">
        <v>1837</v>
      </c>
      <c r="K25" s="154" t="s">
        <v>508</v>
      </c>
    </row>
    <row r="26" spans="1:11" s="142" customFormat="1" ht="12.75" customHeight="1" x14ac:dyDescent="0.25">
      <c r="A26" s="151"/>
      <c r="B26" s="152"/>
      <c r="C26" s="219"/>
      <c r="D26" s="153"/>
      <c r="E26" s="154"/>
      <c r="F26" s="153"/>
      <c r="G26" s="154"/>
      <c r="H26" s="153"/>
      <c r="I26" s="154"/>
      <c r="J26" s="153"/>
      <c r="K26" s="154"/>
    </row>
    <row r="27" spans="1:11" s="142" customFormat="1" ht="12.75" customHeight="1" x14ac:dyDescent="0.25">
      <c r="A27" s="151">
        <v>2009</v>
      </c>
      <c r="B27" s="152" t="s">
        <v>1</v>
      </c>
      <c r="C27" s="219"/>
      <c r="D27" s="153">
        <v>5743</v>
      </c>
      <c r="E27" s="154" t="s">
        <v>508</v>
      </c>
      <c r="F27" s="153">
        <v>3772</v>
      </c>
      <c r="G27" s="154" t="s">
        <v>508</v>
      </c>
      <c r="H27" s="153" t="s">
        <v>526</v>
      </c>
      <c r="I27" s="154" t="s">
        <v>508</v>
      </c>
      <c r="J27" s="153">
        <v>1971</v>
      </c>
      <c r="K27" s="154" t="s">
        <v>508</v>
      </c>
    </row>
    <row r="28" spans="1:11" s="142" customFormat="1" ht="12.75" customHeight="1" x14ac:dyDescent="0.25">
      <c r="A28" s="151"/>
      <c r="B28" s="152" t="s">
        <v>2</v>
      </c>
      <c r="C28" s="219"/>
      <c r="D28" s="153">
        <v>6328</v>
      </c>
      <c r="E28" s="154" t="s">
        <v>508</v>
      </c>
      <c r="F28" s="153">
        <v>3764</v>
      </c>
      <c r="G28" s="154" t="s">
        <v>508</v>
      </c>
      <c r="H28" s="153" t="s">
        <v>527</v>
      </c>
      <c r="I28" s="154" t="s">
        <v>508</v>
      </c>
      <c r="J28" s="153">
        <v>2564</v>
      </c>
      <c r="K28" s="154" t="s">
        <v>508</v>
      </c>
    </row>
    <row r="29" spans="1:11" s="142" customFormat="1" ht="12.75" customHeight="1" x14ac:dyDescent="0.25">
      <c r="A29" s="151"/>
      <c r="B29" s="152" t="s">
        <v>3</v>
      </c>
      <c r="C29" s="219"/>
      <c r="D29" s="153">
        <v>5777</v>
      </c>
      <c r="E29" s="154" t="s">
        <v>508</v>
      </c>
      <c r="F29" s="153">
        <v>3514</v>
      </c>
      <c r="G29" s="154" t="s">
        <v>508</v>
      </c>
      <c r="H29" s="153" t="s">
        <v>528</v>
      </c>
      <c r="I29" s="154" t="s">
        <v>508</v>
      </c>
      <c r="J29" s="153">
        <v>2263</v>
      </c>
      <c r="K29" s="154" t="s">
        <v>508</v>
      </c>
    </row>
    <row r="30" spans="1:11" s="142" customFormat="1" ht="12.75" customHeight="1" x14ac:dyDescent="0.25">
      <c r="A30" s="151"/>
      <c r="B30" s="152" t="s">
        <v>4</v>
      </c>
      <c r="C30" s="219"/>
      <c r="D30" s="153">
        <v>5693</v>
      </c>
      <c r="E30" s="154" t="s">
        <v>508</v>
      </c>
      <c r="F30" s="153">
        <v>3365</v>
      </c>
      <c r="G30" s="154" t="s">
        <v>508</v>
      </c>
      <c r="H30" s="153" t="s">
        <v>529</v>
      </c>
      <c r="I30" s="154" t="s">
        <v>508</v>
      </c>
      <c r="J30" s="153">
        <v>2328</v>
      </c>
      <c r="K30" s="154" t="s">
        <v>508</v>
      </c>
    </row>
    <row r="31" spans="1:11" s="142" customFormat="1" ht="12.75" customHeight="1" x14ac:dyDescent="0.25">
      <c r="A31" s="151"/>
      <c r="B31" s="152"/>
      <c r="C31" s="219"/>
      <c r="D31" s="153"/>
      <c r="E31" s="154"/>
      <c r="F31" s="153"/>
      <c r="G31" s="154"/>
      <c r="H31" s="153"/>
      <c r="I31" s="154"/>
      <c r="J31" s="153"/>
      <c r="K31" s="154"/>
    </row>
    <row r="32" spans="1:11" s="142" customFormat="1" ht="12.75" customHeight="1" x14ac:dyDescent="0.25">
      <c r="A32" s="151">
        <v>2010</v>
      </c>
      <c r="B32" s="152" t="s">
        <v>1</v>
      </c>
      <c r="C32" s="219"/>
      <c r="D32" s="153">
        <v>5200</v>
      </c>
      <c r="E32" s="154" t="s">
        <v>508</v>
      </c>
      <c r="F32" s="153">
        <v>3167</v>
      </c>
      <c r="G32" s="154" t="s">
        <v>508</v>
      </c>
      <c r="H32" s="153" t="s">
        <v>530</v>
      </c>
      <c r="I32" s="154" t="s">
        <v>508</v>
      </c>
      <c r="J32" s="153">
        <v>2033</v>
      </c>
      <c r="K32" s="154" t="s">
        <v>508</v>
      </c>
    </row>
    <row r="33" spans="1:11" s="142" customFormat="1" ht="12.75" customHeight="1" x14ac:dyDescent="0.25">
      <c r="A33" s="151"/>
      <c r="B33" s="152" t="s">
        <v>2</v>
      </c>
      <c r="C33" s="219"/>
      <c r="D33" s="153">
        <v>5378</v>
      </c>
      <c r="E33" s="154" t="s">
        <v>508</v>
      </c>
      <c r="F33" s="153">
        <v>3139</v>
      </c>
      <c r="G33" s="154" t="s">
        <v>508</v>
      </c>
      <c r="H33" s="153" t="s">
        <v>531</v>
      </c>
      <c r="I33" s="154" t="s">
        <v>508</v>
      </c>
      <c r="J33" s="153">
        <v>2239</v>
      </c>
      <c r="K33" s="154" t="s">
        <v>508</v>
      </c>
    </row>
    <row r="34" spans="1:11" s="142" customFormat="1" ht="12.75" customHeight="1" x14ac:dyDescent="0.25">
      <c r="A34" s="151"/>
      <c r="B34" s="152" t="s">
        <v>3</v>
      </c>
      <c r="C34" s="219"/>
      <c r="D34" s="153">
        <v>5175</v>
      </c>
      <c r="E34" s="154" t="s">
        <v>508</v>
      </c>
      <c r="F34" s="153">
        <v>3099</v>
      </c>
      <c r="G34" s="154" t="s">
        <v>508</v>
      </c>
      <c r="H34" s="153" t="s">
        <v>532</v>
      </c>
      <c r="I34" s="154" t="s">
        <v>508</v>
      </c>
      <c r="J34" s="153">
        <v>2076</v>
      </c>
      <c r="K34" s="154" t="s">
        <v>508</v>
      </c>
    </row>
    <row r="35" spans="1:11" s="142" customFormat="1" ht="12.75" customHeight="1" x14ac:dyDescent="0.25">
      <c r="A35" s="151"/>
      <c r="B35" s="152" t="s">
        <v>4</v>
      </c>
      <c r="C35" s="219"/>
      <c r="D35" s="153">
        <v>4591</v>
      </c>
      <c r="E35" s="154" t="s">
        <v>508</v>
      </c>
      <c r="F35" s="153">
        <v>2501</v>
      </c>
      <c r="G35" s="154" t="s">
        <v>508</v>
      </c>
      <c r="H35" s="153" t="s">
        <v>533</v>
      </c>
      <c r="I35" s="154" t="s">
        <v>508</v>
      </c>
      <c r="J35" s="153">
        <v>2090</v>
      </c>
      <c r="K35" s="154" t="s">
        <v>508</v>
      </c>
    </row>
    <row r="36" spans="1:11" s="142" customFormat="1" ht="12.75" customHeight="1" x14ac:dyDescent="0.25">
      <c r="A36" s="151"/>
      <c r="B36" s="152"/>
      <c r="C36" s="219"/>
      <c r="D36" s="153"/>
      <c r="E36" s="154"/>
      <c r="F36" s="153"/>
      <c r="G36" s="154"/>
      <c r="H36" s="153"/>
      <c r="I36" s="154"/>
      <c r="J36" s="153"/>
      <c r="K36" s="154"/>
    </row>
    <row r="37" spans="1:11" s="142" customFormat="1" ht="12.75" customHeight="1" x14ac:dyDescent="0.25">
      <c r="A37" s="151">
        <v>2011</v>
      </c>
      <c r="B37" s="152" t="s">
        <v>1</v>
      </c>
      <c r="C37" s="219"/>
      <c r="D37" s="153">
        <v>4273</v>
      </c>
      <c r="E37" s="154" t="s">
        <v>508</v>
      </c>
      <c r="F37" s="153">
        <v>2698</v>
      </c>
      <c r="G37" s="154" t="s">
        <v>508</v>
      </c>
      <c r="H37" s="153" t="s">
        <v>534</v>
      </c>
      <c r="I37" s="154" t="s">
        <v>508</v>
      </c>
      <c r="J37" s="153">
        <v>1575</v>
      </c>
      <c r="K37" s="154" t="s">
        <v>508</v>
      </c>
    </row>
    <row r="38" spans="1:11" s="142" customFormat="1" ht="12.75" customHeight="1" x14ac:dyDescent="0.25">
      <c r="A38" s="151"/>
      <c r="B38" s="152" t="s">
        <v>2</v>
      </c>
      <c r="C38" s="219"/>
      <c r="D38" s="153">
        <v>5320</v>
      </c>
      <c r="E38" s="154" t="s">
        <v>508</v>
      </c>
      <c r="F38" s="153">
        <v>2948</v>
      </c>
      <c r="G38" s="154" t="s">
        <v>508</v>
      </c>
      <c r="H38" s="153" t="s">
        <v>535</v>
      </c>
      <c r="I38" s="154" t="s">
        <v>508</v>
      </c>
      <c r="J38" s="153">
        <v>2372</v>
      </c>
      <c r="K38" s="154" t="s">
        <v>508</v>
      </c>
    </row>
    <row r="39" spans="1:11" s="142" customFormat="1" ht="12.75" customHeight="1" x14ac:dyDescent="0.25">
      <c r="A39" s="151"/>
      <c r="B39" s="152" t="s">
        <v>3</v>
      </c>
      <c r="C39" s="219"/>
      <c r="D39" s="153">
        <v>5383</v>
      </c>
      <c r="E39" s="154" t="s">
        <v>508</v>
      </c>
      <c r="F39" s="153">
        <v>2857</v>
      </c>
      <c r="G39" s="154" t="s">
        <v>508</v>
      </c>
      <c r="H39" s="153" t="s">
        <v>536</v>
      </c>
      <c r="I39" s="154" t="s">
        <v>508</v>
      </c>
      <c r="J39" s="153">
        <v>2526</v>
      </c>
      <c r="K39" s="154" t="s">
        <v>508</v>
      </c>
    </row>
    <row r="40" spans="1:11" s="142" customFormat="1" ht="12.75" customHeight="1" x14ac:dyDescent="0.25">
      <c r="A40" s="151"/>
      <c r="B40" s="152" t="s">
        <v>4</v>
      </c>
      <c r="C40" s="219"/>
      <c r="D40" s="153">
        <v>4674</v>
      </c>
      <c r="E40" s="154" t="s">
        <v>508</v>
      </c>
      <c r="F40" s="153">
        <v>2625</v>
      </c>
      <c r="G40" s="154" t="s">
        <v>508</v>
      </c>
      <c r="H40" s="153" t="s">
        <v>537</v>
      </c>
      <c r="I40" s="154" t="s">
        <v>508</v>
      </c>
      <c r="J40" s="153">
        <v>2049</v>
      </c>
      <c r="K40" s="154" t="s">
        <v>508</v>
      </c>
    </row>
    <row r="41" spans="1:11" s="142" customFormat="1" ht="12.75" customHeight="1" x14ac:dyDescent="0.25">
      <c r="A41" s="151"/>
      <c r="B41" s="152"/>
      <c r="C41" s="219"/>
      <c r="D41" s="153"/>
      <c r="E41" s="154"/>
      <c r="F41" s="153"/>
      <c r="G41" s="154"/>
      <c r="H41" s="153"/>
      <c r="I41" s="154"/>
      <c r="J41" s="153"/>
      <c r="K41" s="154"/>
    </row>
    <row r="42" spans="1:11" s="142" customFormat="1" ht="12.75" customHeight="1" x14ac:dyDescent="0.25">
      <c r="A42" s="151">
        <v>2012</v>
      </c>
      <c r="B42" s="152" t="s">
        <v>1</v>
      </c>
      <c r="C42" s="219"/>
      <c r="D42" s="153">
        <v>4873</v>
      </c>
      <c r="E42" s="154" t="s">
        <v>508</v>
      </c>
      <c r="F42" s="153">
        <v>2626</v>
      </c>
      <c r="G42" s="154" t="s">
        <v>508</v>
      </c>
      <c r="H42" s="153" t="s">
        <v>538</v>
      </c>
      <c r="I42" s="154" t="s">
        <v>508</v>
      </c>
      <c r="J42" s="153">
        <v>2247</v>
      </c>
      <c r="K42" s="154" t="s">
        <v>508</v>
      </c>
    </row>
    <row r="43" spans="1:11" s="142" customFormat="1" ht="12.75" customHeight="1" x14ac:dyDescent="0.25">
      <c r="A43" s="151"/>
      <c r="B43" s="152" t="s">
        <v>2</v>
      </c>
      <c r="C43" s="219"/>
      <c r="D43" s="153">
        <v>5601</v>
      </c>
      <c r="E43" s="154" t="s">
        <v>508</v>
      </c>
      <c r="F43" s="153">
        <v>3310</v>
      </c>
      <c r="G43" s="154" t="s">
        <v>508</v>
      </c>
      <c r="H43" s="153" t="s">
        <v>539</v>
      </c>
      <c r="I43" s="154" t="s">
        <v>508</v>
      </c>
      <c r="J43" s="153">
        <v>2291</v>
      </c>
      <c r="K43" s="154" t="s">
        <v>508</v>
      </c>
    </row>
    <row r="44" spans="1:11" s="142" customFormat="1" ht="12.75" customHeight="1" x14ac:dyDescent="0.25">
      <c r="A44" s="151"/>
      <c r="B44" s="152" t="s">
        <v>3</v>
      </c>
      <c r="C44" s="219"/>
      <c r="D44" s="153">
        <v>4065</v>
      </c>
      <c r="E44" s="154" t="s">
        <v>508</v>
      </c>
      <c r="F44" s="153">
        <v>1861</v>
      </c>
      <c r="G44" s="154" t="s">
        <v>508</v>
      </c>
      <c r="H44" s="153" t="s">
        <v>540</v>
      </c>
      <c r="I44" s="154" t="s">
        <v>508</v>
      </c>
      <c r="J44" s="153">
        <v>2204</v>
      </c>
      <c r="K44" s="154" t="s">
        <v>508</v>
      </c>
    </row>
    <row r="45" spans="1:11" s="142" customFormat="1" ht="12.75" customHeight="1" x14ac:dyDescent="0.25">
      <c r="A45" s="151"/>
      <c r="B45" s="152" t="s">
        <v>4</v>
      </c>
      <c r="C45" s="219"/>
      <c r="D45" s="153">
        <v>3863</v>
      </c>
      <c r="E45" s="154" t="s">
        <v>508</v>
      </c>
      <c r="F45" s="153">
        <v>1833</v>
      </c>
      <c r="G45" s="154" t="s">
        <v>508</v>
      </c>
      <c r="H45" s="153" t="s">
        <v>541</v>
      </c>
      <c r="I45" s="154" t="s">
        <v>508</v>
      </c>
      <c r="J45" s="153">
        <v>2030</v>
      </c>
      <c r="K45" s="154" t="s">
        <v>508</v>
      </c>
    </row>
    <row r="46" spans="1:11" s="142" customFormat="1" ht="12.75" customHeight="1" x14ac:dyDescent="0.25">
      <c r="A46" s="151"/>
      <c r="B46" s="152"/>
      <c r="C46" s="219"/>
      <c r="D46" s="153"/>
      <c r="E46" s="154"/>
      <c r="F46" s="153"/>
      <c r="G46" s="154"/>
      <c r="H46" s="153"/>
      <c r="I46" s="154"/>
      <c r="J46" s="153"/>
      <c r="K46" s="154"/>
    </row>
    <row r="47" spans="1:11" s="142" customFormat="1" ht="12.75" customHeight="1" x14ac:dyDescent="0.25">
      <c r="A47" s="151">
        <v>2013</v>
      </c>
      <c r="B47" s="152" t="s">
        <v>1</v>
      </c>
      <c r="C47" s="219"/>
      <c r="D47" s="153">
        <v>3486</v>
      </c>
      <c r="E47" s="154" t="s">
        <v>508</v>
      </c>
      <c r="F47" s="153">
        <v>1834</v>
      </c>
      <c r="G47" s="154" t="s">
        <v>508</v>
      </c>
      <c r="H47" s="153" t="s">
        <v>542</v>
      </c>
      <c r="I47" s="154" t="s">
        <v>508</v>
      </c>
      <c r="J47" s="153">
        <v>1652</v>
      </c>
      <c r="K47" s="154" t="s">
        <v>508</v>
      </c>
    </row>
    <row r="48" spans="1:11" s="142" customFormat="1" ht="12.75" customHeight="1" x14ac:dyDescent="0.25">
      <c r="A48" s="151"/>
      <c r="B48" s="152" t="s">
        <v>2</v>
      </c>
      <c r="C48" s="219"/>
      <c r="D48" s="153">
        <v>3999</v>
      </c>
      <c r="E48" s="154" t="s">
        <v>508</v>
      </c>
      <c r="F48" s="153">
        <v>1961</v>
      </c>
      <c r="G48" s="154" t="s">
        <v>508</v>
      </c>
      <c r="H48" s="153" t="s">
        <v>543</v>
      </c>
      <c r="I48" s="154" t="s">
        <v>508</v>
      </c>
      <c r="J48" s="153">
        <v>2038</v>
      </c>
      <c r="K48" s="154" t="s">
        <v>508</v>
      </c>
    </row>
    <row r="49" spans="1:11" s="142" customFormat="1" ht="12.75" customHeight="1" x14ac:dyDescent="0.25">
      <c r="A49" s="151"/>
      <c r="B49" s="152" t="s">
        <v>3</v>
      </c>
      <c r="C49" s="219"/>
      <c r="D49" s="153">
        <v>3418</v>
      </c>
      <c r="E49" s="154" t="s">
        <v>508</v>
      </c>
      <c r="F49" s="153">
        <v>1721</v>
      </c>
      <c r="G49" s="154" t="s">
        <v>508</v>
      </c>
      <c r="H49" s="153" t="s">
        <v>544</v>
      </c>
      <c r="I49" s="154" t="s">
        <v>508</v>
      </c>
      <c r="J49" s="153">
        <v>1697</v>
      </c>
      <c r="K49" s="154" t="s">
        <v>508</v>
      </c>
    </row>
    <row r="50" spans="1:11" s="142" customFormat="1" ht="12.75" customHeight="1" x14ac:dyDescent="0.25">
      <c r="A50" s="151"/>
      <c r="B50" s="152" t="s">
        <v>4</v>
      </c>
      <c r="C50" s="219"/>
      <c r="D50" s="153">
        <v>3347</v>
      </c>
      <c r="E50" s="154" t="s">
        <v>508</v>
      </c>
      <c r="F50" s="153">
        <v>1673</v>
      </c>
      <c r="G50" s="154" t="s">
        <v>508</v>
      </c>
      <c r="H50" s="153" t="s">
        <v>542</v>
      </c>
      <c r="I50" s="154" t="s">
        <v>508</v>
      </c>
      <c r="J50" s="153">
        <v>1674</v>
      </c>
      <c r="K50" s="154" t="s">
        <v>508</v>
      </c>
    </row>
    <row r="51" spans="1:11" s="142" customFormat="1" ht="12.75" customHeight="1" x14ac:dyDescent="0.25">
      <c r="A51" s="151"/>
      <c r="B51" s="152"/>
      <c r="C51" s="219"/>
      <c r="D51" s="153"/>
      <c r="E51" s="154"/>
      <c r="F51" s="153"/>
      <c r="G51" s="154"/>
      <c r="H51" s="153"/>
      <c r="I51" s="154"/>
      <c r="J51" s="153"/>
      <c r="K51" s="154"/>
    </row>
    <row r="52" spans="1:11" s="142" customFormat="1" ht="12.75" customHeight="1" x14ac:dyDescent="0.25">
      <c r="A52" s="151">
        <v>2014</v>
      </c>
      <c r="B52" s="152" t="s">
        <v>1</v>
      </c>
      <c r="C52" s="219"/>
      <c r="D52" s="153">
        <v>3029</v>
      </c>
      <c r="E52" s="154" t="s">
        <v>508</v>
      </c>
      <c r="F52" s="153">
        <v>1757</v>
      </c>
      <c r="G52" s="154" t="s">
        <v>508</v>
      </c>
      <c r="H52" s="153" t="s">
        <v>545</v>
      </c>
      <c r="I52" s="154" t="s">
        <v>508</v>
      </c>
      <c r="J52" s="153">
        <v>1272</v>
      </c>
      <c r="K52" s="154" t="s">
        <v>508</v>
      </c>
    </row>
    <row r="53" spans="1:11" s="142" customFormat="1" ht="12.75" customHeight="1" x14ac:dyDescent="0.25">
      <c r="A53" s="151"/>
      <c r="B53" s="152" t="s">
        <v>2</v>
      </c>
      <c r="C53" s="219"/>
      <c r="D53" s="153">
        <v>2968</v>
      </c>
      <c r="E53" s="154" t="s">
        <v>508</v>
      </c>
      <c r="F53" s="153">
        <v>1756</v>
      </c>
      <c r="G53" s="154" t="s">
        <v>508</v>
      </c>
      <c r="H53" s="153" t="s">
        <v>546</v>
      </c>
      <c r="I53" s="154" t="s">
        <v>508</v>
      </c>
      <c r="J53" s="153">
        <v>1212</v>
      </c>
      <c r="K53" s="154" t="s">
        <v>508</v>
      </c>
    </row>
    <row r="54" spans="1:11" s="142" customFormat="1" ht="12.75" customHeight="1" x14ac:dyDescent="0.25">
      <c r="A54" s="151"/>
      <c r="B54" s="152" t="s">
        <v>3</v>
      </c>
      <c r="C54" s="219"/>
      <c r="D54" s="153">
        <v>2991</v>
      </c>
      <c r="E54" s="154" t="s">
        <v>508</v>
      </c>
      <c r="F54" s="153">
        <v>1654</v>
      </c>
      <c r="G54" s="154" t="s">
        <v>508</v>
      </c>
      <c r="H54" s="153" t="s">
        <v>547</v>
      </c>
      <c r="I54" s="154" t="s">
        <v>508</v>
      </c>
      <c r="J54" s="153">
        <v>1337</v>
      </c>
      <c r="K54" s="154" t="s">
        <v>508</v>
      </c>
    </row>
    <row r="55" spans="1:11" s="142" customFormat="1" ht="12.75" customHeight="1" x14ac:dyDescent="0.25">
      <c r="A55" s="151"/>
      <c r="B55" s="152" t="s">
        <v>4</v>
      </c>
      <c r="C55" s="219"/>
      <c r="D55" s="153">
        <v>2634</v>
      </c>
      <c r="E55" s="154" t="s">
        <v>508</v>
      </c>
      <c r="F55" s="153">
        <v>1580</v>
      </c>
      <c r="G55" s="154" t="s">
        <v>508</v>
      </c>
      <c r="H55" s="153" t="s">
        <v>548</v>
      </c>
      <c r="I55" s="154" t="s">
        <v>508</v>
      </c>
      <c r="J55" s="153">
        <v>1054</v>
      </c>
      <c r="K55" s="154" t="s">
        <v>508</v>
      </c>
    </row>
    <row r="56" spans="1:11" s="142" customFormat="1" ht="12.75" customHeight="1" x14ac:dyDescent="0.25">
      <c r="A56" s="151"/>
      <c r="B56" s="152"/>
      <c r="C56" s="219"/>
      <c r="D56" s="153"/>
      <c r="E56" s="154"/>
      <c r="F56" s="153"/>
      <c r="G56" s="154"/>
      <c r="H56" s="153"/>
      <c r="I56" s="154"/>
      <c r="J56" s="153"/>
      <c r="K56" s="154"/>
    </row>
    <row r="57" spans="1:11" s="142" customFormat="1" ht="12.75" customHeight="1" x14ac:dyDescent="0.25">
      <c r="A57" s="151">
        <v>2015</v>
      </c>
      <c r="B57" s="152" t="s">
        <v>1</v>
      </c>
      <c r="C57" s="219"/>
      <c r="D57" s="153">
        <v>2574</v>
      </c>
      <c r="E57" s="154" t="s">
        <v>508</v>
      </c>
      <c r="F57" s="153">
        <v>1740</v>
      </c>
      <c r="G57" s="154" t="s">
        <v>508</v>
      </c>
      <c r="H57" s="153" t="s">
        <v>549</v>
      </c>
      <c r="I57" s="154" t="s">
        <v>508</v>
      </c>
      <c r="J57" s="153">
        <v>834</v>
      </c>
      <c r="K57" s="154" t="s">
        <v>508</v>
      </c>
    </row>
    <row r="58" spans="1:11" s="142" customFormat="1" ht="12.75" customHeight="1" x14ac:dyDescent="0.25">
      <c r="A58" s="151"/>
      <c r="B58" s="152" t="s">
        <v>2</v>
      </c>
      <c r="C58" s="219"/>
      <c r="D58" s="153">
        <v>1639</v>
      </c>
      <c r="E58" s="154" t="s">
        <v>508</v>
      </c>
      <c r="F58" s="153">
        <v>790</v>
      </c>
      <c r="G58" s="154" t="s">
        <v>508</v>
      </c>
      <c r="H58" s="153" t="s">
        <v>550</v>
      </c>
      <c r="I58" s="154" t="s">
        <v>508</v>
      </c>
      <c r="J58" s="153">
        <v>849</v>
      </c>
      <c r="K58" s="154" t="s">
        <v>508</v>
      </c>
    </row>
    <row r="59" spans="1:11" s="142" customFormat="1" ht="12.75" customHeight="1" x14ac:dyDescent="0.25">
      <c r="A59" s="151"/>
      <c r="B59" s="152" t="s">
        <v>3</v>
      </c>
      <c r="C59" s="219"/>
      <c r="D59" s="153">
        <v>2244</v>
      </c>
      <c r="E59" s="154" t="s">
        <v>508</v>
      </c>
      <c r="F59" s="153">
        <v>975</v>
      </c>
      <c r="G59" s="154" t="s">
        <v>508</v>
      </c>
      <c r="H59" s="153" t="s">
        <v>551</v>
      </c>
      <c r="I59" s="154" t="s">
        <v>508</v>
      </c>
      <c r="J59" s="153">
        <v>1269</v>
      </c>
      <c r="K59" s="154" t="s">
        <v>508</v>
      </c>
    </row>
    <row r="60" spans="1:11" s="142" customFormat="1" ht="12.75" customHeight="1" x14ac:dyDescent="0.25">
      <c r="A60" s="151"/>
      <c r="B60" s="152" t="s">
        <v>4</v>
      </c>
      <c r="C60" s="219"/>
      <c r="D60" s="153">
        <v>2328</v>
      </c>
      <c r="E60" s="154" t="s">
        <v>508</v>
      </c>
      <c r="F60" s="153">
        <v>972</v>
      </c>
      <c r="G60" s="154" t="s">
        <v>508</v>
      </c>
      <c r="H60" s="153" t="s">
        <v>552</v>
      </c>
      <c r="I60" s="154" t="s">
        <v>508</v>
      </c>
      <c r="J60" s="153">
        <v>1356</v>
      </c>
      <c r="K60" s="154" t="s">
        <v>508</v>
      </c>
    </row>
    <row r="61" spans="1:11" s="142" customFormat="1" ht="12.75" customHeight="1" x14ac:dyDescent="0.25">
      <c r="A61" s="151"/>
      <c r="B61" s="152"/>
      <c r="C61" s="219"/>
      <c r="D61" s="153"/>
      <c r="E61" s="154"/>
      <c r="F61" s="153"/>
      <c r="G61" s="154"/>
      <c r="H61" s="153"/>
      <c r="I61" s="154"/>
      <c r="J61" s="153"/>
      <c r="K61" s="154"/>
    </row>
    <row r="62" spans="1:11" s="142" customFormat="1" ht="12.75" customHeight="1" x14ac:dyDescent="0.25">
      <c r="A62" s="151">
        <v>2016</v>
      </c>
      <c r="B62" s="152" t="s">
        <v>1</v>
      </c>
      <c r="C62" s="219"/>
      <c r="D62" s="153">
        <v>2263</v>
      </c>
      <c r="E62" s="154" t="s">
        <v>508</v>
      </c>
      <c r="F62" s="153">
        <v>1028</v>
      </c>
      <c r="G62" s="154" t="s">
        <v>508</v>
      </c>
      <c r="H62" s="153" t="s">
        <v>553</v>
      </c>
      <c r="I62" s="154" t="s">
        <v>508</v>
      </c>
      <c r="J62" s="153">
        <v>1235</v>
      </c>
      <c r="K62" s="154" t="s">
        <v>508</v>
      </c>
    </row>
    <row r="63" spans="1:11" s="142" customFormat="1" ht="12.75" customHeight="1" x14ac:dyDescent="0.25">
      <c r="A63" s="151"/>
      <c r="B63" s="152" t="s">
        <v>2</v>
      </c>
      <c r="C63" s="219" t="s">
        <v>197</v>
      </c>
      <c r="D63" s="153">
        <v>2405</v>
      </c>
      <c r="E63" s="154" t="s">
        <v>508</v>
      </c>
      <c r="F63" s="153">
        <v>1144</v>
      </c>
      <c r="G63" s="154" t="s">
        <v>508</v>
      </c>
      <c r="H63" s="153" t="s">
        <v>554</v>
      </c>
      <c r="I63" s="154" t="s">
        <v>508</v>
      </c>
      <c r="J63" s="153">
        <v>1261</v>
      </c>
      <c r="K63" s="154" t="s">
        <v>508</v>
      </c>
    </row>
    <row r="64" spans="1:11" s="142" customFormat="1" ht="12.75" customHeight="1" x14ac:dyDescent="0.25">
      <c r="A64" s="151"/>
      <c r="B64" s="152" t="s">
        <v>3</v>
      </c>
      <c r="C64" s="219" t="s">
        <v>197</v>
      </c>
      <c r="D64" s="153">
        <v>2424</v>
      </c>
      <c r="E64" s="154" t="s">
        <v>508</v>
      </c>
      <c r="F64" s="153">
        <v>1113</v>
      </c>
      <c r="G64" s="154" t="s">
        <v>508</v>
      </c>
      <c r="H64" s="153" t="s">
        <v>555</v>
      </c>
      <c r="I64" s="154" t="s">
        <v>508</v>
      </c>
      <c r="J64" s="153">
        <v>1311</v>
      </c>
      <c r="K64" s="154" t="s">
        <v>508</v>
      </c>
    </row>
    <row r="65" spans="1:27" s="142" customFormat="1" ht="12.75" customHeight="1" x14ac:dyDescent="0.25">
      <c r="A65" s="152"/>
      <c r="B65" s="152" t="s">
        <v>4</v>
      </c>
      <c r="C65" s="219" t="s">
        <v>197</v>
      </c>
      <c r="D65" s="153">
        <v>2616</v>
      </c>
      <c r="E65" s="154" t="s">
        <v>508</v>
      </c>
      <c r="F65" s="153">
        <v>1116</v>
      </c>
      <c r="G65" s="154" t="s">
        <v>508</v>
      </c>
      <c r="H65" s="153" t="s">
        <v>556</v>
      </c>
      <c r="I65" s="154" t="s">
        <v>508</v>
      </c>
      <c r="J65" s="153">
        <v>1500</v>
      </c>
      <c r="K65" s="154" t="s">
        <v>508</v>
      </c>
    </row>
    <row r="66" spans="1:27" s="142" customFormat="1" ht="12.75" customHeight="1" x14ac:dyDescent="0.25">
      <c r="A66" s="151"/>
      <c r="B66" s="152"/>
      <c r="C66" s="219"/>
      <c r="D66" s="153"/>
      <c r="E66" s="154"/>
      <c r="F66" s="153"/>
      <c r="G66" s="154"/>
      <c r="H66" s="153"/>
      <c r="I66" s="154"/>
      <c r="J66" s="153"/>
      <c r="K66" s="154"/>
    </row>
    <row r="67" spans="1:27" s="142" customFormat="1" ht="12.75" customHeight="1" x14ac:dyDescent="0.25">
      <c r="A67" s="151">
        <v>2017</v>
      </c>
      <c r="B67" s="152" t="s">
        <v>1</v>
      </c>
      <c r="C67" s="219" t="s">
        <v>197</v>
      </c>
      <c r="D67" s="153">
        <v>2513</v>
      </c>
      <c r="E67" s="154" t="s">
        <v>508</v>
      </c>
      <c r="F67" s="153">
        <v>1112</v>
      </c>
      <c r="G67" s="154" t="s">
        <v>508</v>
      </c>
      <c r="H67" s="153" t="s">
        <v>557</v>
      </c>
      <c r="I67" s="154" t="s">
        <v>508</v>
      </c>
      <c r="J67" s="153">
        <v>1401</v>
      </c>
      <c r="K67" s="154" t="s">
        <v>508</v>
      </c>
      <c r="AA67" s="142" t="s">
        <v>508</v>
      </c>
    </row>
    <row r="68" spans="1:27" s="142" customFormat="1" ht="12.75" customHeight="1" thickBot="1" x14ac:dyDescent="0.3">
      <c r="A68" s="152"/>
      <c r="B68" s="156"/>
      <c r="C68" s="220"/>
      <c r="D68" s="153"/>
      <c r="E68" s="154"/>
      <c r="F68" s="153"/>
      <c r="G68" s="154"/>
      <c r="H68" s="153"/>
      <c r="I68" s="154"/>
      <c r="J68" s="153"/>
      <c r="K68" s="154"/>
    </row>
    <row r="69" spans="1:27" s="142" customFormat="1" ht="12.75" customHeight="1" x14ac:dyDescent="0.2">
      <c r="A69" s="159" t="s">
        <v>509</v>
      </c>
      <c r="B69" s="159"/>
      <c r="C69" s="221"/>
      <c r="D69" s="159"/>
      <c r="E69" s="221"/>
      <c r="F69" s="159"/>
      <c r="G69" s="221"/>
      <c r="H69" s="159"/>
      <c r="I69" s="221"/>
      <c r="J69" s="159"/>
      <c r="K69" s="221"/>
    </row>
    <row r="70" spans="1:27" s="142" customFormat="1" ht="12.75" customHeight="1" x14ac:dyDescent="0.2">
      <c r="A70" s="160"/>
      <c r="B70" s="160"/>
      <c r="C70" s="161"/>
      <c r="D70" s="160"/>
      <c r="E70" s="161"/>
      <c r="F70" s="160"/>
      <c r="G70" s="161"/>
      <c r="H70" s="160"/>
      <c r="I70" s="161"/>
      <c r="J70" s="160"/>
      <c r="K70" s="161"/>
    </row>
    <row r="71" spans="1:27" s="142" customFormat="1" ht="12.75" hidden="1" customHeight="1" x14ac:dyDescent="0.2">
      <c r="A71" s="162">
        <v>2016</v>
      </c>
      <c r="B71" s="163" t="s">
        <v>4</v>
      </c>
      <c r="C71" s="222"/>
      <c r="D71" s="164" t="s">
        <v>121</v>
      </c>
      <c r="E71" s="161"/>
      <c r="F71" s="164" t="s">
        <v>121</v>
      </c>
      <c r="G71" s="161"/>
      <c r="H71" s="164" t="s">
        <v>121</v>
      </c>
      <c r="I71" s="161"/>
      <c r="J71" s="164" t="s">
        <v>121</v>
      </c>
      <c r="K71" s="161"/>
    </row>
    <row r="72" spans="1:27" s="142" customFormat="1" ht="12.75" hidden="1" customHeight="1" x14ac:dyDescent="0.2">
      <c r="A72" s="165"/>
      <c r="B72" s="166"/>
      <c r="C72" s="223"/>
      <c r="D72" s="167"/>
      <c r="E72" s="281"/>
      <c r="F72" s="167"/>
      <c r="G72" s="281"/>
      <c r="H72" s="167"/>
      <c r="I72" s="281"/>
      <c r="J72" s="167"/>
      <c r="K72" s="281"/>
    </row>
    <row r="73" spans="1:27" s="142" customFormat="1" ht="12.75" customHeight="1" thickBot="1" x14ac:dyDescent="0.25">
      <c r="A73" s="157">
        <v>2016</v>
      </c>
      <c r="B73" s="158" t="s">
        <v>1</v>
      </c>
      <c r="C73" s="224"/>
      <c r="D73" s="168">
        <v>11.047282368537337</v>
      </c>
      <c r="E73" s="282"/>
      <c r="F73" s="168">
        <v>8.1712062256809261</v>
      </c>
      <c r="G73" s="282"/>
      <c r="H73" s="168">
        <v>11.221945137157107</v>
      </c>
      <c r="I73" s="282"/>
      <c r="J73" s="168">
        <v>13.441295546558706</v>
      </c>
      <c r="K73" s="282"/>
    </row>
    <row r="74" spans="1:27" s="169" customFormat="1" ht="12.75" customHeight="1" x14ac:dyDescent="0.2">
      <c r="A74" s="342"/>
      <c r="B74" s="342"/>
      <c r="C74" s="342"/>
      <c r="D74" s="342"/>
      <c r="E74" s="342"/>
      <c r="F74" s="342"/>
      <c r="G74" s="342"/>
      <c r="H74" s="342"/>
      <c r="I74" s="342"/>
      <c r="J74" s="342"/>
      <c r="K74" s="342"/>
    </row>
    <row r="75" spans="1:27" s="169" customFormat="1" ht="12.75" customHeight="1" x14ac:dyDescent="0.2">
      <c r="A75" s="340" t="s">
        <v>268</v>
      </c>
      <c r="B75" s="340"/>
      <c r="C75" s="340"/>
      <c r="D75" s="340"/>
      <c r="E75" s="340"/>
      <c r="F75" s="340"/>
      <c r="G75" s="340"/>
      <c r="H75" s="340"/>
      <c r="I75" s="340"/>
      <c r="J75" s="340"/>
      <c r="K75" s="340"/>
    </row>
    <row r="76" spans="1:27" s="170" customFormat="1" ht="75" customHeight="1" x14ac:dyDescent="0.3">
      <c r="A76" s="340" t="s">
        <v>269</v>
      </c>
      <c r="B76" s="340"/>
      <c r="C76" s="340"/>
      <c r="D76" s="340"/>
      <c r="E76" s="340"/>
      <c r="F76" s="340"/>
      <c r="G76" s="340"/>
      <c r="H76" s="340"/>
      <c r="I76" s="340"/>
      <c r="J76" s="340"/>
      <c r="K76" s="340"/>
    </row>
    <row r="77" spans="1:27" s="170" customFormat="1" ht="90" customHeight="1" x14ac:dyDescent="0.3">
      <c r="A77" s="340" t="s">
        <v>405</v>
      </c>
      <c r="B77" s="340"/>
      <c r="C77" s="340"/>
      <c r="D77" s="340"/>
      <c r="E77" s="340"/>
      <c r="F77" s="340"/>
      <c r="G77" s="340"/>
      <c r="H77" s="340"/>
      <c r="I77" s="340"/>
      <c r="J77" s="340"/>
      <c r="K77" s="340"/>
    </row>
    <row r="78" spans="1:27" s="171" customFormat="1" ht="27.75" customHeight="1" x14ac:dyDescent="0.3">
      <c r="A78" s="340"/>
      <c r="B78" s="340"/>
      <c r="C78" s="340"/>
      <c r="D78" s="340"/>
      <c r="E78" s="340"/>
      <c r="F78" s="340"/>
      <c r="G78" s="340"/>
      <c r="H78" s="340"/>
      <c r="I78" s="340"/>
      <c r="J78" s="340"/>
      <c r="K78" s="340"/>
    </row>
    <row r="79" spans="1:27" ht="12.75" customHeight="1" x14ac:dyDescent="0.3">
      <c r="A79" s="340"/>
      <c r="B79" s="340"/>
      <c r="C79" s="340"/>
      <c r="D79" s="340"/>
      <c r="E79" s="340"/>
      <c r="F79" s="340"/>
      <c r="G79" s="340"/>
      <c r="H79" s="340"/>
      <c r="I79" s="340"/>
      <c r="J79" s="340"/>
      <c r="K79" s="340"/>
    </row>
    <row r="80" spans="1:27" ht="12.75" customHeight="1" x14ac:dyDescent="0.3">
      <c r="A80" s="340"/>
      <c r="B80" s="340"/>
      <c r="C80" s="340"/>
      <c r="D80" s="340"/>
      <c r="E80" s="340"/>
      <c r="F80" s="340"/>
      <c r="G80" s="340"/>
      <c r="H80" s="340"/>
      <c r="I80" s="340"/>
      <c r="J80" s="340"/>
      <c r="K80" s="340"/>
    </row>
    <row r="81" spans="1:11" ht="12.75" customHeight="1" x14ac:dyDescent="0.3">
      <c r="A81" s="340"/>
      <c r="B81" s="340"/>
      <c r="C81" s="340"/>
      <c r="D81" s="340"/>
      <c r="E81" s="340"/>
      <c r="F81" s="340"/>
      <c r="G81" s="340"/>
      <c r="H81" s="340"/>
      <c r="I81" s="340"/>
      <c r="J81" s="340"/>
      <c r="K81" s="340"/>
    </row>
    <row r="82" spans="1:11" ht="12.75" customHeight="1" x14ac:dyDescent="0.3">
      <c r="A82" s="340"/>
      <c r="B82" s="340"/>
      <c r="C82" s="340"/>
      <c r="D82" s="340"/>
      <c r="E82" s="340"/>
      <c r="F82" s="340"/>
      <c r="G82" s="340"/>
      <c r="H82" s="340"/>
      <c r="I82" s="340"/>
      <c r="J82" s="340"/>
      <c r="K82" s="340"/>
    </row>
    <row r="83" spans="1:11" ht="12.75" customHeight="1" x14ac:dyDescent="0.3">
      <c r="A83" s="340"/>
      <c r="B83" s="340"/>
      <c r="C83" s="340"/>
      <c r="D83" s="340"/>
      <c r="E83" s="340"/>
      <c r="F83" s="340"/>
      <c r="G83" s="340"/>
      <c r="H83" s="340"/>
      <c r="I83" s="340"/>
      <c r="J83" s="340"/>
      <c r="K83" s="340"/>
    </row>
    <row r="84" spans="1:11" ht="12.75" customHeight="1" x14ac:dyDescent="0.3">
      <c r="A84" s="340"/>
      <c r="B84" s="340"/>
      <c r="C84" s="340"/>
      <c r="D84" s="340"/>
      <c r="E84" s="340"/>
      <c r="F84" s="340"/>
      <c r="G84" s="340"/>
      <c r="H84" s="340"/>
      <c r="I84" s="340"/>
      <c r="J84" s="340"/>
      <c r="K84" s="340"/>
    </row>
  </sheetData>
  <dataConsolidate/>
  <mergeCells count="15">
    <mergeCell ref="A82:K82"/>
    <mergeCell ref="A83:K83"/>
    <mergeCell ref="A84:K84"/>
    <mergeCell ref="F5:I5"/>
    <mergeCell ref="A75:K75"/>
    <mergeCell ref="A76:K76"/>
    <mergeCell ref="A77:K77"/>
    <mergeCell ref="A78:K78"/>
    <mergeCell ref="A79:K79"/>
    <mergeCell ref="A80:K80"/>
    <mergeCell ref="J4:K4"/>
    <mergeCell ref="D5:E5"/>
    <mergeCell ref="J5:K5"/>
    <mergeCell ref="A74:K74"/>
    <mergeCell ref="A81:K81"/>
  </mergeCells>
  <hyperlinks>
    <hyperlink ref="A3" location="'Table Contents'!A1" display="Back to contents"/>
  </hyperlinks>
  <printOptions horizontalCentered="1" verticalCentered="1" gridLinesSet="0"/>
  <pageMargins left="0.19685039370078741" right="0.19685039370078741" top="0.19685039370078741" bottom="0.19685039370078741" header="0.39370078740157483" footer="0.39370078740157483"/>
  <pageSetup paperSize="9" scale="71"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A1:AA81"/>
  <sheetViews>
    <sheetView showGridLines="0" topLeftCell="A3" zoomScaleNormal="100" workbookViewId="0">
      <pane xSplit="3" ySplit="5" topLeftCell="D8" activePane="bottomRight" state="frozen"/>
      <selection activeCell="S15" sqref="S15"/>
      <selection pane="topRight" activeCell="S15" sqref="S15"/>
      <selection pane="bottomLeft" activeCell="S15" sqref="S15"/>
      <selection pane="bottomRight" activeCell="D8" sqref="D8"/>
    </sheetView>
  </sheetViews>
  <sheetFormatPr defaultColWidth="8.85546875" defaultRowHeight="12.75" customHeight="1" x14ac:dyDescent="0.3"/>
  <cols>
    <col min="1" max="1" width="7.42578125" style="131" customWidth="1"/>
    <col min="2" max="3" width="4.85546875" style="131" customWidth="1"/>
    <col min="4" max="4" width="12.7109375" style="172" customWidth="1"/>
    <col min="5" max="5" width="3.85546875" style="174" customWidth="1"/>
    <col min="6" max="6" width="11.7109375" style="172" customWidth="1"/>
    <col min="7" max="7" width="3.85546875" style="174" customWidth="1"/>
    <col min="8" max="8" width="11.28515625" style="172" customWidth="1"/>
    <col min="9" max="9" width="3.85546875" style="174" customWidth="1"/>
    <col min="10" max="10" width="11.28515625" style="172" customWidth="1"/>
    <col min="11" max="11" width="3.85546875" style="174" customWidth="1"/>
    <col min="12" max="12" width="11.28515625" style="172" customWidth="1"/>
    <col min="13" max="13" width="3.85546875" style="174" customWidth="1"/>
    <col min="14" max="14" width="11.28515625" style="172" customWidth="1"/>
    <col min="15" max="15" width="3.85546875" style="174" customWidth="1"/>
    <col min="16" max="16384" width="8.85546875" style="134"/>
  </cols>
  <sheetData>
    <row r="1" spans="1:15" ht="12.75" hidden="1" customHeight="1" x14ac:dyDescent="0.3"/>
    <row r="2" spans="1:15" ht="12.75" hidden="1" customHeight="1" x14ac:dyDescent="0.3"/>
    <row r="3" spans="1:15" ht="12.75" customHeight="1" x14ac:dyDescent="0.3">
      <c r="B3" s="132"/>
      <c r="C3" s="132"/>
      <c r="D3" s="132"/>
      <c r="E3" s="133"/>
      <c r="F3" s="132"/>
      <c r="G3" s="133"/>
      <c r="H3" s="132"/>
      <c r="I3" s="133"/>
      <c r="J3" s="132"/>
      <c r="K3" s="133"/>
      <c r="L3" s="132"/>
      <c r="M3" s="133"/>
      <c r="N3" s="132"/>
      <c r="O3" s="133"/>
    </row>
    <row r="4" spans="1:15" s="136" customFormat="1" ht="31.5" customHeight="1" x14ac:dyDescent="0.3">
      <c r="A4" s="192" t="s">
        <v>193</v>
      </c>
      <c r="B4" s="191"/>
      <c r="C4" s="191"/>
      <c r="D4" s="135" t="s">
        <v>410</v>
      </c>
      <c r="E4" s="133"/>
      <c r="F4" s="132"/>
      <c r="G4" s="133"/>
      <c r="H4" s="132"/>
      <c r="I4" s="133"/>
      <c r="J4" s="132"/>
      <c r="K4" s="133"/>
      <c r="L4" s="132"/>
      <c r="M4" s="133"/>
      <c r="N4" s="132"/>
      <c r="O4" s="133"/>
    </row>
    <row r="5" spans="1:15" s="136" customFormat="1" ht="17.25" x14ac:dyDescent="0.3">
      <c r="A5" s="190" t="s">
        <v>154</v>
      </c>
      <c r="B5" s="187"/>
      <c r="C5" s="187"/>
      <c r="D5" s="188" t="s">
        <v>191</v>
      </c>
      <c r="E5" s="283"/>
      <c r="F5" s="188"/>
      <c r="G5" s="283"/>
      <c r="H5" s="188"/>
      <c r="I5" s="283"/>
      <c r="J5" s="188"/>
      <c r="K5" s="283"/>
      <c r="L5" s="188"/>
      <c r="M5" s="283"/>
      <c r="N5" s="188"/>
      <c r="O5" s="283"/>
    </row>
    <row r="6" spans="1:15" ht="10.5" customHeight="1" thickBot="1" x14ac:dyDescent="0.35">
      <c r="A6" s="137"/>
      <c r="B6" s="137"/>
      <c r="C6" s="137"/>
      <c r="D6" s="137"/>
      <c r="E6" s="215"/>
      <c r="F6" s="137"/>
      <c r="G6" s="215"/>
      <c r="H6" s="137"/>
      <c r="I6" s="215"/>
      <c r="J6" s="137"/>
      <c r="K6" s="215"/>
      <c r="L6" s="137"/>
      <c r="M6" s="215"/>
      <c r="N6" s="137"/>
      <c r="O6" s="215"/>
    </row>
    <row r="7" spans="1:15" s="141" customFormat="1" ht="60" customHeight="1" thickBot="1" x14ac:dyDescent="0.35">
      <c r="A7" s="227"/>
      <c r="B7" s="228" t="s">
        <v>140</v>
      </c>
      <c r="C7" s="228"/>
      <c r="D7" s="338" t="s">
        <v>425</v>
      </c>
      <c r="E7" s="338"/>
      <c r="F7" s="341" t="s">
        <v>426</v>
      </c>
      <c r="G7" s="341"/>
      <c r="H7" s="341" t="s">
        <v>427</v>
      </c>
      <c r="I7" s="341"/>
      <c r="J7" s="341" t="s">
        <v>430</v>
      </c>
      <c r="K7" s="341"/>
      <c r="L7" s="341" t="s">
        <v>432</v>
      </c>
      <c r="M7" s="341"/>
      <c r="N7" s="341" t="s">
        <v>431</v>
      </c>
      <c r="O7" s="341"/>
    </row>
    <row r="8" spans="1:15" s="146" customFormat="1" ht="15" x14ac:dyDescent="0.25">
      <c r="A8" s="143">
        <v>2007</v>
      </c>
      <c r="B8" s="143"/>
      <c r="C8" s="213"/>
      <c r="D8" s="144" t="s">
        <v>67</v>
      </c>
      <c r="E8" s="145" t="s">
        <v>508</v>
      </c>
      <c r="F8" s="144">
        <v>122</v>
      </c>
      <c r="G8" s="145" t="s">
        <v>508</v>
      </c>
      <c r="H8" s="144">
        <v>42</v>
      </c>
      <c r="I8" s="145" t="s">
        <v>508</v>
      </c>
      <c r="J8" s="144" t="s">
        <v>67</v>
      </c>
      <c r="K8" s="145" t="s">
        <v>508</v>
      </c>
      <c r="L8" s="144" t="s">
        <v>67</v>
      </c>
      <c r="M8" s="145" t="s">
        <v>508</v>
      </c>
      <c r="N8" s="144" t="s">
        <v>67</v>
      </c>
      <c r="O8" s="145" t="s">
        <v>508</v>
      </c>
    </row>
    <row r="9" spans="1:15" s="146" customFormat="1" ht="12.75" customHeight="1" x14ac:dyDescent="0.25">
      <c r="A9" s="143">
        <v>2008</v>
      </c>
      <c r="B9" s="143"/>
      <c r="C9" s="213"/>
      <c r="D9" s="144" t="s">
        <v>67</v>
      </c>
      <c r="E9" s="145" t="s">
        <v>508</v>
      </c>
      <c r="F9" s="144">
        <v>158</v>
      </c>
      <c r="G9" s="145" t="s">
        <v>508</v>
      </c>
      <c r="H9" s="144">
        <v>51</v>
      </c>
      <c r="I9" s="145" t="s">
        <v>508</v>
      </c>
      <c r="J9" s="144" t="s">
        <v>67</v>
      </c>
      <c r="K9" s="145" t="s">
        <v>508</v>
      </c>
      <c r="L9" s="144" t="s">
        <v>67</v>
      </c>
      <c r="M9" s="145" t="s">
        <v>508</v>
      </c>
      <c r="N9" s="144" t="s">
        <v>67</v>
      </c>
      <c r="O9" s="145" t="s">
        <v>508</v>
      </c>
    </row>
    <row r="10" spans="1:15" s="146" customFormat="1" ht="12.75" customHeight="1" x14ac:dyDescent="0.25">
      <c r="A10" s="143">
        <v>2009</v>
      </c>
      <c r="B10" s="143"/>
      <c r="C10" s="213"/>
      <c r="D10" s="144" t="s">
        <v>67</v>
      </c>
      <c r="E10" s="145" t="s">
        <v>508</v>
      </c>
      <c r="F10" s="144">
        <v>164</v>
      </c>
      <c r="G10" s="145" t="s">
        <v>508</v>
      </c>
      <c r="H10" s="144">
        <v>86</v>
      </c>
      <c r="I10" s="145" t="s">
        <v>508</v>
      </c>
      <c r="J10" s="144" t="s">
        <v>67</v>
      </c>
      <c r="K10" s="145" t="s">
        <v>508</v>
      </c>
      <c r="L10" s="144" t="s">
        <v>67</v>
      </c>
      <c r="M10" s="145" t="s">
        <v>508</v>
      </c>
      <c r="N10" s="144" t="s">
        <v>67</v>
      </c>
      <c r="O10" s="145" t="s">
        <v>508</v>
      </c>
    </row>
    <row r="11" spans="1:15" s="146" customFormat="1" ht="12.75" customHeight="1" x14ac:dyDescent="0.25">
      <c r="A11" s="143">
        <v>2010</v>
      </c>
      <c r="B11" s="143"/>
      <c r="C11" s="213"/>
      <c r="D11" s="144">
        <v>494</v>
      </c>
      <c r="E11" s="145" t="s">
        <v>508</v>
      </c>
      <c r="F11" s="144">
        <v>250</v>
      </c>
      <c r="G11" s="145" t="s">
        <v>508</v>
      </c>
      <c r="H11" s="144">
        <v>116</v>
      </c>
      <c r="I11" s="145" t="s">
        <v>508</v>
      </c>
      <c r="J11" s="144">
        <v>78</v>
      </c>
      <c r="K11" s="145" t="s">
        <v>508</v>
      </c>
      <c r="L11" s="144">
        <v>42</v>
      </c>
      <c r="M11" s="145" t="s">
        <v>508</v>
      </c>
      <c r="N11" s="144">
        <v>8</v>
      </c>
      <c r="O11" s="145" t="s">
        <v>508</v>
      </c>
    </row>
    <row r="12" spans="1:15" s="146" customFormat="1" ht="12.75" customHeight="1" x14ac:dyDescent="0.25">
      <c r="A12" s="143">
        <v>2011</v>
      </c>
      <c r="B12" s="143"/>
      <c r="C12" s="213"/>
      <c r="D12" s="144">
        <v>437</v>
      </c>
      <c r="E12" s="145" t="s">
        <v>508</v>
      </c>
      <c r="F12" s="144">
        <v>208</v>
      </c>
      <c r="G12" s="145" t="s">
        <v>508</v>
      </c>
      <c r="H12" s="144">
        <v>116</v>
      </c>
      <c r="I12" s="145" t="s">
        <v>508</v>
      </c>
      <c r="J12" s="144">
        <v>68</v>
      </c>
      <c r="K12" s="145" t="s">
        <v>508</v>
      </c>
      <c r="L12" s="144">
        <v>26</v>
      </c>
      <c r="M12" s="145" t="s">
        <v>508</v>
      </c>
      <c r="N12" s="144">
        <v>19</v>
      </c>
      <c r="O12" s="145" t="s">
        <v>508</v>
      </c>
    </row>
    <row r="13" spans="1:15" s="146" customFormat="1" ht="12.75" customHeight="1" x14ac:dyDescent="0.25">
      <c r="A13" s="143">
        <v>2012</v>
      </c>
      <c r="B13" s="143"/>
      <c r="C13" s="213"/>
      <c r="D13" s="144">
        <v>526</v>
      </c>
      <c r="E13" s="145" t="s">
        <v>508</v>
      </c>
      <c r="F13" s="144">
        <v>252</v>
      </c>
      <c r="G13" s="145" t="s">
        <v>508</v>
      </c>
      <c r="H13" s="144">
        <v>136</v>
      </c>
      <c r="I13" s="145" t="s">
        <v>508</v>
      </c>
      <c r="J13" s="144">
        <v>83</v>
      </c>
      <c r="K13" s="145" t="s">
        <v>508</v>
      </c>
      <c r="L13" s="144">
        <v>41</v>
      </c>
      <c r="M13" s="145" t="s">
        <v>508</v>
      </c>
      <c r="N13" s="144">
        <v>14</v>
      </c>
      <c r="O13" s="145" t="s">
        <v>508</v>
      </c>
    </row>
    <row r="14" spans="1:15" s="146" customFormat="1" ht="12.75" customHeight="1" x14ac:dyDescent="0.25">
      <c r="A14" s="143">
        <v>2013</v>
      </c>
      <c r="B14" s="143"/>
      <c r="C14" s="213"/>
      <c r="D14" s="144">
        <v>357</v>
      </c>
      <c r="E14" s="145" t="s">
        <v>508</v>
      </c>
      <c r="F14" s="144">
        <v>178</v>
      </c>
      <c r="G14" s="145" t="s">
        <v>508</v>
      </c>
      <c r="H14" s="144">
        <v>98</v>
      </c>
      <c r="I14" s="145" t="s">
        <v>508</v>
      </c>
      <c r="J14" s="144">
        <v>47</v>
      </c>
      <c r="K14" s="145" t="s">
        <v>508</v>
      </c>
      <c r="L14" s="144">
        <v>33</v>
      </c>
      <c r="M14" s="145" t="s">
        <v>508</v>
      </c>
      <c r="N14" s="144">
        <v>1</v>
      </c>
      <c r="O14" s="145" t="s">
        <v>508</v>
      </c>
    </row>
    <row r="15" spans="1:15" s="146" customFormat="1" ht="12.75" customHeight="1" x14ac:dyDescent="0.25">
      <c r="A15" s="143">
        <v>2014</v>
      </c>
      <c r="B15" s="143"/>
      <c r="C15" s="213"/>
      <c r="D15" s="144">
        <v>380</v>
      </c>
      <c r="E15" s="145" t="s">
        <v>508</v>
      </c>
      <c r="F15" s="144">
        <v>221</v>
      </c>
      <c r="G15" s="145" t="s">
        <v>508</v>
      </c>
      <c r="H15" s="144">
        <v>90</v>
      </c>
      <c r="I15" s="145" t="s">
        <v>508</v>
      </c>
      <c r="J15" s="144">
        <v>29</v>
      </c>
      <c r="K15" s="145" t="s">
        <v>508</v>
      </c>
      <c r="L15" s="144">
        <v>37</v>
      </c>
      <c r="M15" s="145" t="s">
        <v>508</v>
      </c>
      <c r="N15" s="144">
        <v>3</v>
      </c>
      <c r="O15" s="145" t="s">
        <v>508</v>
      </c>
    </row>
    <row r="16" spans="1:15" s="146" customFormat="1" ht="12.75" customHeight="1" x14ac:dyDescent="0.25">
      <c r="A16" s="143">
        <v>2015</v>
      </c>
      <c r="B16" s="143"/>
      <c r="C16" s="213"/>
      <c r="D16" s="144">
        <v>378</v>
      </c>
      <c r="E16" s="145" t="s">
        <v>508</v>
      </c>
      <c r="F16" s="144">
        <v>225</v>
      </c>
      <c r="G16" s="145" t="s">
        <v>508</v>
      </c>
      <c r="H16" s="144">
        <v>76</v>
      </c>
      <c r="I16" s="145" t="s">
        <v>508</v>
      </c>
      <c r="J16" s="144">
        <v>35</v>
      </c>
      <c r="K16" s="145" t="s">
        <v>508</v>
      </c>
      <c r="L16" s="144">
        <v>39</v>
      </c>
      <c r="M16" s="145" t="s">
        <v>508</v>
      </c>
      <c r="N16" s="144">
        <v>3</v>
      </c>
      <c r="O16" s="145" t="s">
        <v>508</v>
      </c>
    </row>
    <row r="17" spans="1:15" s="146" customFormat="1" ht="12.75" customHeight="1" x14ac:dyDescent="0.25">
      <c r="A17" s="143">
        <v>2016</v>
      </c>
      <c r="B17" s="213" t="s">
        <v>508</v>
      </c>
      <c r="D17" s="144">
        <v>393</v>
      </c>
      <c r="E17" s="145" t="s">
        <v>280</v>
      </c>
      <c r="F17" s="144">
        <v>243</v>
      </c>
      <c r="G17" s="145" t="s">
        <v>508</v>
      </c>
      <c r="H17" s="144">
        <v>89</v>
      </c>
      <c r="I17" s="145" t="s">
        <v>508</v>
      </c>
      <c r="J17" s="144">
        <v>32</v>
      </c>
      <c r="K17" s="145" t="s">
        <v>280</v>
      </c>
      <c r="L17" s="144">
        <v>25</v>
      </c>
      <c r="M17" s="145" t="s">
        <v>280</v>
      </c>
      <c r="N17" s="144">
        <v>4</v>
      </c>
      <c r="O17" s="145" t="s">
        <v>508</v>
      </c>
    </row>
    <row r="18" spans="1:15" s="142" customFormat="1" ht="12.75" customHeight="1" x14ac:dyDescent="0.25">
      <c r="A18" s="148"/>
      <c r="B18" s="148"/>
      <c r="C18" s="218"/>
      <c r="D18" s="320"/>
      <c r="E18" s="154"/>
      <c r="F18" s="320"/>
      <c r="G18" s="154"/>
      <c r="H18" s="320"/>
      <c r="I18" s="321"/>
      <c r="J18" s="320"/>
      <c r="K18" s="321"/>
      <c r="L18" s="320"/>
      <c r="M18" s="321"/>
      <c r="N18" s="320"/>
      <c r="O18" s="154"/>
    </row>
    <row r="19" spans="1:15" s="142" customFormat="1" ht="12.75" customHeight="1" x14ac:dyDescent="0.25">
      <c r="A19" s="151">
        <v>2007</v>
      </c>
      <c r="B19" s="152" t="s">
        <v>1</v>
      </c>
      <c r="C19" s="219"/>
      <c r="D19" s="153" t="s">
        <v>67</v>
      </c>
      <c r="E19" s="154" t="s">
        <v>508</v>
      </c>
      <c r="F19" s="153">
        <v>29</v>
      </c>
      <c r="G19" s="154" t="s">
        <v>508</v>
      </c>
      <c r="H19" s="153">
        <v>7</v>
      </c>
      <c r="I19" s="154" t="s">
        <v>508</v>
      </c>
      <c r="J19" s="153" t="s">
        <v>67</v>
      </c>
      <c r="K19" s="154" t="s">
        <v>508</v>
      </c>
      <c r="L19" s="153" t="s">
        <v>67</v>
      </c>
      <c r="M19" s="154" t="s">
        <v>508</v>
      </c>
      <c r="N19" s="153" t="s">
        <v>67</v>
      </c>
      <c r="O19" s="154" t="s">
        <v>508</v>
      </c>
    </row>
    <row r="20" spans="1:15" s="142" customFormat="1" ht="12.75" customHeight="1" x14ac:dyDescent="0.25">
      <c r="A20" s="151"/>
      <c r="B20" s="152" t="s">
        <v>2</v>
      </c>
      <c r="C20" s="219"/>
      <c r="D20" s="153" t="s">
        <v>67</v>
      </c>
      <c r="E20" s="154" t="s">
        <v>508</v>
      </c>
      <c r="F20" s="153">
        <v>29</v>
      </c>
      <c r="G20" s="154" t="s">
        <v>508</v>
      </c>
      <c r="H20" s="153">
        <v>9</v>
      </c>
      <c r="I20" s="154" t="s">
        <v>508</v>
      </c>
      <c r="J20" s="153" t="s">
        <v>67</v>
      </c>
      <c r="K20" s="154" t="s">
        <v>508</v>
      </c>
      <c r="L20" s="153" t="s">
        <v>67</v>
      </c>
      <c r="M20" s="154" t="s">
        <v>508</v>
      </c>
      <c r="N20" s="153" t="s">
        <v>67</v>
      </c>
      <c r="O20" s="154" t="s">
        <v>508</v>
      </c>
    </row>
    <row r="21" spans="1:15" s="142" customFormat="1" ht="12.75" customHeight="1" x14ac:dyDescent="0.25">
      <c r="A21" s="151"/>
      <c r="B21" s="152" t="s">
        <v>3</v>
      </c>
      <c r="C21" s="219"/>
      <c r="D21" s="153" t="s">
        <v>67</v>
      </c>
      <c r="E21" s="154" t="s">
        <v>508</v>
      </c>
      <c r="F21" s="153">
        <v>28</v>
      </c>
      <c r="G21" s="154" t="s">
        <v>508</v>
      </c>
      <c r="H21" s="153">
        <v>14</v>
      </c>
      <c r="I21" s="154" t="s">
        <v>508</v>
      </c>
      <c r="J21" s="153" t="s">
        <v>67</v>
      </c>
      <c r="K21" s="154" t="s">
        <v>508</v>
      </c>
      <c r="L21" s="153" t="s">
        <v>67</v>
      </c>
      <c r="M21" s="154" t="s">
        <v>508</v>
      </c>
      <c r="N21" s="153" t="s">
        <v>67</v>
      </c>
      <c r="O21" s="154" t="s">
        <v>508</v>
      </c>
    </row>
    <row r="22" spans="1:15" s="142" customFormat="1" ht="12.75" customHeight="1" x14ac:dyDescent="0.25">
      <c r="A22" s="151"/>
      <c r="B22" s="152" t="s">
        <v>4</v>
      </c>
      <c r="C22" s="219"/>
      <c r="D22" s="153" t="s">
        <v>67</v>
      </c>
      <c r="E22" s="154" t="s">
        <v>508</v>
      </c>
      <c r="F22" s="153">
        <v>36</v>
      </c>
      <c r="G22" s="154" t="s">
        <v>508</v>
      </c>
      <c r="H22" s="153">
        <v>12</v>
      </c>
      <c r="I22" s="154" t="s">
        <v>508</v>
      </c>
      <c r="J22" s="153" t="s">
        <v>67</v>
      </c>
      <c r="K22" s="154" t="s">
        <v>508</v>
      </c>
      <c r="L22" s="153" t="s">
        <v>67</v>
      </c>
      <c r="M22" s="154" t="s">
        <v>508</v>
      </c>
      <c r="N22" s="153" t="s">
        <v>67</v>
      </c>
      <c r="O22" s="154" t="s">
        <v>508</v>
      </c>
    </row>
    <row r="23" spans="1:15" s="142" customFormat="1" ht="12.75" customHeight="1" x14ac:dyDescent="0.25">
      <c r="A23" s="151"/>
      <c r="B23" s="152"/>
      <c r="C23" s="219"/>
      <c r="D23" s="153"/>
      <c r="E23" s="154"/>
      <c r="F23" s="153"/>
      <c r="G23" s="154"/>
      <c r="H23" s="153"/>
      <c r="I23" s="154"/>
      <c r="J23" s="153"/>
      <c r="K23" s="154"/>
      <c r="L23" s="153"/>
      <c r="M23" s="154"/>
      <c r="N23" s="153"/>
      <c r="O23" s="154"/>
    </row>
    <row r="24" spans="1:15" s="142" customFormat="1" ht="12.75" customHeight="1" x14ac:dyDescent="0.25">
      <c r="A24" s="151">
        <v>2008</v>
      </c>
      <c r="B24" s="152" t="s">
        <v>1</v>
      </c>
      <c r="C24" s="219"/>
      <c r="D24" s="153" t="s">
        <v>67</v>
      </c>
      <c r="E24" s="154" t="s">
        <v>508</v>
      </c>
      <c r="F24" s="153">
        <v>37</v>
      </c>
      <c r="G24" s="154" t="s">
        <v>508</v>
      </c>
      <c r="H24" s="153">
        <v>5</v>
      </c>
      <c r="I24" s="154" t="s">
        <v>508</v>
      </c>
      <c r="J24" s="153" t="s">
        <v>67</v>
      </c>
      <c r="K24" s="154" t="s">
        <v>508</v>
      </c>
      <c r="L24" s="153" t="s">
        <v>67</v>
      </c>
      <c r="M24" s="154" t="s">
        <v>508</v>
      </c>
      <c r="N24" s="153" t="s">
        <v>67</v>
      </c>
      <c r="O24" s="154" t="s">
        <v>508</v>
      </c>
    </row>
    <row r="25" spans="1:15" s="142" customFormat="1" ht="12.75" customHeight="1" x14ac:dyDescent="0.25">
      <c r="A25" s="151"/>
      <c r="B25" s="152" t="s">
        <v>2</v>
      </c>
      <c r="C25" s="219"/>
      <c r="D25" s="153" t="s">
        <v>67</v>
      </c>
      <c r="E25" s="154" t="s">
        <v>508</v>
      </c>
      <c r="F25" s="153">
        <v>42</v>
      </c>
      <c r="G25" s="154" t="s">
        <v>508</v>
      </c>
      <c r="H25" s="153">
        <v>15</v>
      </c>
      <c r="I25" s="154" t="s">
        <v>508</v>
      </c>
      <c r="J25" s="153" t="s">
        <v>67</v>
      </c>
      <c r="K25" s="154" t="s">
        <v>508</v>
      </c>
      <c r="L25" s="153" t="s">
        <v>67</v>
      </c>
      <c r="M25" s="154" t="s">
        <v>508</v>
      </c>
      <c r="N25" s="153" t="s">
        <v>67</v>
      </c>
      <c r="O25" s="154" t="s">
        <v>508</v>
      </c>
    </row>
    <row r="26" spans="1:15" s="142" customFormat="1" ht="12.75" customHeight="1" x14ac:dyDescent="0.25">
      <c r="A26" s="151"/>
      <c r="B26" s="152" t="s">
        <v>3</v>
      </c>
      <c r="C26" s="219"/>
      <c r="D26" s="153" t="s">
        <v>67</v>
      </c>
      <c r="E26" s="154" t="s">
        <v>508</v>
      </c>
      <c r="F26" s="153">
        <v>27</v>
      </c>
      <c r="G26" s="154" t="s">
        <v>508</v>
      </c>
      <c r="H26" s="153">
        <v>17</v>
      </c>
      <c r="I26" s="154" t="s">
        <v>508</v>
      </c>
      <c r="J26" s="153" t="s">
        <v>67</v>
      </c>
      <c r="K26" s="154" t="s">
        <v>508</v>
      </c>
      <c r="L26" s="153" t="s">
        <v>67</v>
      </c>
      <c r="M26" s="154" t="s">
        <v>508</v>
      </c>
      <c r="N26" s="153" t="s">
        <v>67</v>
      </c>
      <c r="O26" s="154" t="s">
        <v>508</v>
      </c>
    </row>
    <row r="27" spans="1:15" s="142" customFormat="1" ht="12.75" customHeight="1" x14ac:dyDescent="0.25">
      <c r="A27" s="151"/>
      <c r="B27" s="152" t="s">
        <v>4</v>
      </c>
      <c r="C27" s="219"/>
      <c r="D27" s="153" t="s">
        <v>67</v>
      </c>
      <c r="E27" s="154" t="s">
        <v>508</v>
      </c>
      <c r="F27" s="153">
        <v>52</v>
      </c>
      <c r="G27" s="154" t="s">
        <v>508</v>
      </c>
      <c r="H27" s="153">
        <v>14</v>
      </c>
      <c r="I27" s="154" t="s">
        <v>508</v>
      </c>
      <c r="J27" s="153" t="s">
        <v>67</v>
      </c>
      <c r="K27" s="154" t="s">
        <v>508</v>
      </c>
      <c r="L27" s="153" t="s">
        <v>67</v>
      </c>
      <c r="M27" s="154" t="s">
        <v>508</v>
      </c>
      <c r="N27" s="153" t="s">
        <v>67</v>
      </c>
      <c r="O27" s="154" t="s">
        <v>508</v>
      </c>
    </row>
    <row r="28" spans="1:15" s="142" customFormat="1" ht="12.75" customHeight="1" x14ac:dyDescent="0.25">
      <c r="A28" s="151"/>
      <c r="B28" s="152"/>
      <c r="C28" s="219"/>
      <c r="D28" s="153"/>
      <c r="E28" s="154"/>
      <c r="F28" s="153"/>
      <c r="G28" s="154"/>
      <c r="H28" s="153"/>
      <c r="I28" s="154"/>
      <c r="J28" s="153"/>
      <c r="K28" s="154"/>
      <c r="L28" s="153"/>
      <c r="M28" s="154"/>
      <c r="N28" s="153"/>
      <c r="O28" s="154"/>
    </row>
    <row r="29" spans="1:15" s="142" customFormat="1" ht="12.75" customHeight="1" x14ac:dyDescent="0.25">
      <c r="A29" s="151">
        <v>2009</v>
      </c>
      <c r="B29" s="152" t="s">
        <v>1</v>
      </c>
      <c r="C29" s="219"/>
      <c r="D29" s="153" t="s">
        <v>67</v>
      </c>
      <c r="E29" s="154" t="s">
        <v>508</v>
      </c>
      <c r="F29" s="153">
        <v>34</v>
      </c>
      <c r="G29" s="154" t="s">
        <v>508</v>
      </c>
      <c r="H29" s="153">
        <v>23</v>
      </c>
      <c r="I29" s="154" t="s">
        <v>508</v>
      </c>
      <c r="J29" s="153" t="s">
        <v>67</v>
      </c>
      <c r="K29" s="154" t="s">
        <v>508</v>
      </c>
      <c r="L29" s="153" t="s">
        <v>67</v>
      </c>
      <c r="M29" s="154" t="s">
        <v>508</v>
      </c>
      <c r="N29" s="153" t="s">
        <v>67</v>
      </c>
      <c r="O29" s="154" t="s">
        <v>508</v>
      </c>
    </row>
    <row r="30" spans="1:15" s="142" customFormat="1" ht="12.75" customHeight="1" x14ac:dyDescent="0.25">
      <c r="A30" s="151"/>
      <c r="B30" s="152" t="s">
        <v>2</v>
      </c>
      <c r="C30" s="219"/>
      <c r="D30" s="153" t="s">
        <v>67</v>
      </c>
      <c r="E30" s="154" t="s">
        <v>508</v>
      </c>
      <c r="F30" s="153">
        <v>46</v>
      </c>
      <c r="G30" s="154" t="s">
        <v>508</v>
      </c>
      <c r="H30" s="153">
        <v>19</v>
      </c>
      <c r="I30" s="154" t="s">
        <v>508</v>
      </c>
      <c r="J30" s="153" t="s">
        <v>67</v>
      </c>
      <c r="K30" s="154" t="s">
        <v>508</v>
      </c>
      <c r="L30" s="153" t="s">
        <v>67</v>
      </c>
      <c r="M30" s="154" t="s">
        <v>508</v>
      </c>
      <c r="N30" s="153" t="s">
        <v>67</v>
      </c>
      <c r="O30" s="154" t="s">
        <v>508</v>
      </c>
    </row>
    <row r="31" spans="1:15" s="142" customFormat="1" ht="12.75" customHeight="1" x14ac:dyDescent="0.25">
      <c r="A31" s="151"/>
      <c r="B31" s="152" t="s">
        <v>3</v>
      </c>
      <c r="C31" s="219"/>
      <c r="D31" s="153" t="s">
        <v>67</v>
      </c>
      <c r="E31" s="154" t="s">
        <v>508</v>
      </c>
      <c r="F31" s="153">
        <v>27</v>
      </c>
      <c r="G31" s="154" t="s">
        <v>508</v>
      </c>
      <c r="H31" s="153">
        <v>24</v>
      </c>
      <c r="I31" s="154" t="s">
        <v>508</v>
      </c>
      <c r="J31" s="153" t="s">
        <v>67</v>
      </c>
      <c r="K31" s="154" t="s">
        <v>508</v>
      </c>
      <c r="L31" s="153" t="s">
        <v>67</v>
      </c>
      <c r="M31" s="154" t="s">
        <v>508</v>
      </c>
      <c r="N31" s="153" t="s">
        <v>67</v>
      </c>
      <c r="O31" s="154" t="s">
        <v>508</v>
      </c>
    </row>
    <row r="32" spans="1:15" s="142" customFormat="1" ht="12.75" customHeight="1" x14ac:dyDescent="0.25">
      <c r="A32" s="151"/>
      <c r="B32" s="152" t="s">
        <v>4</v>
      </c>
      <c r="C32" s="219"/>
      <c r="D32" s="153">
        <v>98</v>
      </c>
      <c r="E32" s="154" t="s">
        <v>508</v>
      </c>
      <c r="F32" s="153">
        <v>57</v>
      </c>
      <c r="G32" s="154" t="s">
        <v>508</v>
      </c>
      <c r="H32" s="153">
        <v>20</v>
      </c>
      <c r="I32" s="154" t="s">
        <v>508</v>
      </c>
      <c r="J32" s="153">
        <v>11</v>
      </c>
      <c r="K32" s="154" t="s">
        <v>508</v>
      </c>
      <c r="L32" s="153">
        <v>10</v>
      </c>
      <c r="M32" s="154" t="s">
        <v>508</v>
      </c>
      <c r="N32" s="153">
        <v>0</v>
      </c>
      <c r="O32" s="154" t="s">
        <v>508</v>
      </c>
    </row>
    <row r="33" spans="1:15" s="142" customFormat="1" ht="12.75" customHeight="1" x14ac:dyDescent="0.25">
      <c r="A33" s="151"/>
      <c r="B33" s="152"/>
      <c r="C33" s="219"/>
      <c r="D33" s="153"/>
      <c r="E33" s="154"/>
      <c r="F33" s="153"/>
      <c r="G33" s="154"/>
      <c r="H33" s="153"/>
      <c r="I33" s="154"/>
      <c r="J33" s="153"/>
      <c r="K33" s="154"/>
      <c r="L33" s="153"/>
      <c r="M33" s="154"/>
      <c r="N33" s="153"/>
      <c r="O33" s="154"/>
    </row>
    <row r="34" spans="1:15" s="142" customFormat="1" ht="12.75" customHeight="1" x14ac:dyDescent="0.25">
      <c r="A34" s="151">
        <v>2010</v>
      </c>
      <c r="B34" s="152" t="s">
        <v>1</v>
      </c>
      <c r="C34" s="219"/>
      <c r="D34" s="153">
        <v>115</v>
      </c>
      <c r="E34" s="154" t="s">
        <v>508</v>
      </c>
      <c r="F34" s="153">
        <v>49</v>
      </c>
      <c r="G34" s="154" t="s">
        <v>508</v>
      </c>
      <c r="H34" s="153">
        <v>41</v>
      </c>
      <c r="I34" s="154" t="s">
        <v>508</v>
      </c>
      <c r="J34" s="153">
        <v>17</v>
      </c>
      <c r="K34" s="154" t="s">
        <v>508</v>
      </c>
      <c r="L34" s="153">
        <v>7</v>
      </c>
      <c r="M34" s="154" t="s">
        <v>508</v>
      </c>
      <c r="N34" s="153">
        <v>1</v>
      </c>
      <c r="O34" s="154" t="s">
        <v>508</v>
      </c>
    </row>
    <row r="35" spans="1:15" s="142" customFormat="1" ht="12.75" customHeight="1" x14ac:dyDescent="0.25">
      <c r="A35" s="151"/>
      <c r="B35" s="152" t="s">
        <v>2</v>
      </c>
      <c r="C35" s="219"/>
      <c r="D35" s="153">
        <v>142</v>
      </c>
      <c r="E35" s="154" t="s">
        <v>508</v>
      </c>
      <c r="F35" s="153">
        <v>92</v>
      </c>
      <c r="G35" s="154" t="s">
        <v>508</v>
      </c>
      <c r="H35" s="153">
        <v>23</v>
      </c>
      <c r="I35" s="154" t="s">
        <v>508</v>
      </c>
      <c r="J35" s="153">
        <v>16</v>
      </c>
      <c r="K35" s="154" t="s">
        <v>508</v>
      </c>
      <c r="L35" s="153">
        <v>10</v>
      </c>
      <c r="M35" s="154" t="s">
        <v>508</v>
      </c>
      <c r="N35" s="153">
        <v>1</v>
      </c>
      <c r="O35" s="154" t="s">
        <v>508</v>
      </c>
    </row>
    <row r="36" spans="1:15" s="142" customFormat="1" ht="12.75" customHeight="1" x14ac:dyDescent="0.25">
      <c r="A36" s="151"/>
      <c r="B36" s="152" t="s">
        <v>3</v>
      </c>
      <c r="C36" s="219"/>
      <c r="D36" s="153">
        <v>97</v>
      </c>
      <c r="E36" s="154" t="s">
        <v>508</v>
      </c>
      <c r="F36" s="153">
        <v>55</v>
      </c>
      <c r="G36" s="154" t="s">
        <v>508</v>
      </c>
      <c r="H36" s="153">
        <v>24</v>
      </c>
      <c r="I36" s="154" t="s">
        <v>508</v>
      </c>
      <c r="J36" s="153">
        <v>11</v>
      </c>
      <c r="K36" s="154" t="s">
        <v>508</v>
      </c>
      <c r="L36" s="153">
        <v>6</v>
      </c>
      <c r="M36" s="154" t="s">
        <v>508</v>
      </c>
      <c r="N36" s="153">
        <v>1</v>
      </c>
      <c r="O36" s="154" t="s">
        <v>508</v>
      </c>
    </row>
    <row r="37" spans="1:15" s="142" customFormat="1" ht="12.75" customHeight="1" x14ac:dyDescent="0.25">
      <c r="A37" s="151"/>
      <c r="B37" s="152" t="s">
        <v>4</v>
      </c>
      <c r="C37" s="219"/>
      <c r="D37" s="153">
        <v>140</v>
      </c>
      <c r="E37" s="154" t="s">
        <v>508</v>
      </c>
      <c r="F37" s="153">
        <v>54</v>
      </c>
      <c r="G37" s="154" t="s">
        <v>508</v>
      </c>
      <c r="H37" s="153">
        <v>28</v>
      </c>
      <c r="I37" s="154" t="s">
        <v>508</v>
      </c>
      <c r="J37" s="153">
        <v>34</v>
      </c>
      <c r="K37" s="154" t="s">
        <v>508</v>
      </c>
      <c r="L37" s="153">
        <v>19</v>
      </c>
      <c r="M37" s="154" t="s">
        <v>508</v>
      </c>
      <c r="N37" s="153">
        <v>5</v>
      </c>
      <c r="O37" s="154" t="s">
        <v>508</v>
      </c>
    </row>
    <row r="38" spans="1:15" s="142" customFormat="1" ht="12.75" customHeight="1" x14ac:dyDescent="0.25">
      <c r="A38" s="151"/>
      <c r="B38" s="152"/>
      <c r="C38" s="219"/>
      <c r="D38" s="153"/>
      <c r="E38" s="154"/>
      <c r="F38" s="153"/>
      <c r="G38" s="154"/>
      <c r="H38" s="153"/>
      <c r="I38" s="154"/>
      <c r="J38" s="153"/>
      <c r="K38" s="154"/>
      <c r="L38" s="153"/>
      <c r="M38" s="154"/>
      <c r="N38" s="153"/>
      <c r="O38" s="154"/>
    </row>
    <row r="39" spans="1:15" s="142" customFormat="1" ht="12.75" customHeight="1" x14ac:dyDescent="0.25">
      <c r="A39" s="151">
        <v>2011</v>
      </c>
      <c r="B39" s="152" t="s">
        <v>1</v>
      </c>
      <c r="C39" s="219"/>
      <c r="D39" s="153">
        <v>120</v>
      </c>
      <c r="E39" s="154" t="s">
        <v>508</v>
      </c>
      <c r="F39" s="153">
        <v>61</v>
      </c>
      <c r="G39" s="154" t="s">
        <v>508</v>
      </c>
      <c r="H39" s="153">
        <v>35</v>
      </c>
      <c r="I39" s="154" t="s">
        <v>508</v>
      </c>
      <c r="J39" s="153">
        <v>14</v>
      </c>
      <c r="K39" s="154" t="s">
        <v>508</v>
      </c>
      <c r="L39" s="153">
        <v>5</v>
      </c>
      <c r="M39" s="154" t="s">
        <v>508</v>
      </c>
      <c r="N39" s="153">
        <v>5</v>
      </c>
      <c r="O39" s="154" t="s">
        <v>508</v>
      </c>
    </row>
    <row r="40" spans="1:15" s="142" customFormat="1" ht="12.75" customHeight="1" x14ac:dyDescent="0.25">
      <c r="A40" s="151"/>
      <c r="B40" s="152" t="s">
        <v>2</v>
      </c>
      <c r="C40" s="219"/>
      <c r="D40" s="153">
        <v>113</v>
      </c>
      <c r="E40" s="154" t="s">
        <v>508</v>
      </c>
      <c r="F40" s="153">
        <v>56</v>
      </c>
      <c r="G40" s="154" t="s">
        <v>508</v>
      </c>
      <c r="H40" s="153">
        <v>23</v>
      </c>
      <c r="I40" s="154" t="s">
        <v>508</v>
      </c>
      <c r="J40" s="153">
        <v>22</v>
      </c>
      <c r="K40" s="154" t="s">
        <v>508</v>
      </c>
      <c r="L40" s="153">
        <v>7</v>
      </c>
      <c r="M40" s="154" t="s">
        <v>508</v>
      </c>
      <c r="N40" s="153">
        <v>5</v>
      </c>
      <c r="O40" s="154" t="s">
        <v>508</v>
      </c>
    </row>
    <row r="41" spans="1:15" s="142" customFormat="1" ht="12.75" customHeight="1" x14ac:dyDescent="0.25">
      <c r="A41" s="151"/>
      <c r="B41" s="152" t="s">
        <v>3</v>
      </c>
      <c r="C41" s="219"/>
      <c r="D41" s="153">
        <v>93</v>
      </c>
      <c r="E41" s="154" t="s">
        <v>508</v>
      </c>
      <c r="F41" s="153">
        <v>43</v>
      </c>
      <c r="G41" s="154" t="s">
        <v>508</v>
      </c>
      <c r="H41" s="153">
        <v>31</v>
      </c>
      <c r="I41" s="154" t="s">
        <v>508</v>
      </c>
      <c r="J41" s="153">
        <v>10</v>
      </c>
      <c r="K41" s="154" t="s">
        <v>508</v>
      </c>
      <c r="L41" s="153">
        <v>6</v>
      </c>
      <c r="M41" s="154" t="s">
        <v>508</v>
      </c>
      <c r="N41" s="153">
        <v>3</v>
      </c>
      <c r="O41" s="154" t="s">
        <v>508</v>
      </c>
    </row>
    <row r="42" spans="1:15" s="142" customFormat="1" ht="12.75" customHeight="1" x14ac:dyDescent="0.25">
      <c r="A42" s="151"/>
      <c r="B42" s="152" t="s">
        <v>4</v>
      </c>
      <c r="C42" s="219"/>
      <c r="D42" s="153">
        <v>111</v>
      </c>
      <c r="E42" s="154" t="s">
        <v>508</v>
      </c>
      <c r="F42" s="153">
        <v>48</v>
      </c>
      <c r="G42" s="154" t="s">
        <v>508</v>
      </c>
      <c r="H42" s="153">
        <v>27</v>
      </c>
      <c r="I42" s="154" t="s">
        <v>508</v>
      </c>
      <c r="J42" s="153">
        <v>22</v>
      </c>
      <c r="K42" s="154" t="s">
        <v>508</v>
      </c>
      <c r="L42" s="153">
        <v>8</v>
      </c>
      <c r="M42" s="154" t="s">
        <v>508</v>
      </c>
      <c r="N42" s="153">
        <v>6</v>
      </c>
      <c r="O42" s="154" t="s">
        <v>508</v>
      </c>
    </row>
    <row r="43" spans="1:15" s="142" customFormat="1" ht="12.75" customHeight="1" x14ac:dyDescent="0.25">
      <c r="A43" s="151"/>
      <c r="B43" s="152"/>
      <c r="C43" s="219"/>
      <c r="D43" s="153"/>
      <c r="E43" s="154"/>
      <c r="F43" s="153"/>
      <c r="G43" s="154"/>
      <c r="H43" s="153"/>
      <c r="I43" s="154"/>
      <c r="J43" s="153"/>
      <c r="K43" s="154"/>
      <c r="L43" s="153"/>
      <c r="M43" s="154"/>
      <c r="N43" s="153"/>
      <c r="O43" s="154"/>
    </row>
    <row r="44" spans="1:15" s="142" customFormat="1" ht="12.75" customHeight="1" x14ac:dyDescent="0.25">
      <c r="A44" s="151">
        <v>2012</v>
      </c>
      <c r="B44" s="152" t="s">
        <v>1</v>
      </c>
      <c r="C44" s="219"/>
      <c r="D44" s="153">
        <v>142</v>
      </c>
      <c r="E44" s="154" t="s">
        <v>508</v>
      </c>
      <c r="F44" s="153">
        <v>72</v>
      </c>
      <c r="G44" s="154" t="s">
        <v>508</v>
      </c>
      <c r="H44" s="153">
        <v>34</v>
      </c>
      <c r="I44" s="154" t="s">
        <v>508</v>
      </c>
      <c r="J44" s="153">
        <v>23</v>
      </c>
      <c r="K44" s="154" t="s">
        <v>508</v>
      </c>
      <c r="L44" s="153">
        <v>9</v>
      </c>
      <c r="M44" s="154" t="s">
        <v>508</v>
      </c>
      <c r="N44" s="153">
        <v>4</v>
      </c>
      <c r="O44" s="154" t="s">
        <v>508</v>
      </c>
    </row>
    <row r="45" spans="1:15" s="142" customFormat="1" ht="12.75" customHeight="1" x14ac:dyDescent="0.25">
      <c r="A45" s="151"/>
      <c r="B45" s="152" t="s">
        <v>2</v>
      </c>
      <c r="C45" s="219"/>
      <c r="D45" s="153">
        <v>147</v>
      </c>
      <c r="E45" s="154" t="s">
        <v>508</v>
      </c>
      <c r="F45" s="153">
        <v>72</v>
      </c>
      <c r="G45" s="154" t="s">
        <v>508</v>
      </c>
      <c r="H45" s="153">
        <v>37</v>
      </c>
      <c r="I45" s="154" t="s">
        <v>508</v>
      </c>
      <c r="J45" s="153">
        <v>19</v>
      </c>
      <c r="K45" s="154" t="s">
        <v>508</v>
      </c>
      <c r="L45" s="153">
        <v>13</v>
      </c>
      <c r="M45" s="154" t="s">
        <v>508</v>
      </c>
      <c r="N45" s="153">
        <v>6</v>
      </c>
      <c r="O45" s="154" t="s">
        <v>508</v>
      </c>
    </row>
    <row r="46" spans="1:15" s="142" customFormat="1" ht="12.75" customHeight="1" x14ac:dyDescent="0.25">
      <c r="A46" s="151"/>
      <c r="B46" s="152" t="s">
        <v>3</v>
      </c>
      <c r="C46" s="219"/>
      <c r="D46" s="153">
        <v>127</v>
      </c>
      <c r="E46" s="154" t="s">
        <v>508</v>
      </c>
      <c r="F46" s="153">
        <v>60</v>
      </c>
      <c r="G46" s="154" t="s">
        <v>508</v>
      </c>
      <c r="H46" s="153">
        <v>32</v>
      </c>
      <c r="I46" s="154" t="s">
        <v>508</v>
      </c>
      <c r="J46" s="153">
        <v>27</v>
      </c>
      <c r="K46" s="154" t="s">
        <v>508</v>
      </c>
      <c r="L46" s="153">
        <v>6</v>
      </c>
      <c r="M46" s="154" t="s">
        <v>508</v>
      </c>
      <c r="N46" s="153">
        <v>2</v>
      </c>
      <c r="O46" s="154" t="s">
        <v>508</v>
      </c>
    </row>
    <row r="47" spans="1:15" s="142" customFormat="1" ht="12.75" customHeight="1" x14ac:dyDescent="0.25">
      <c r="A47" s="151"/>
      <c r="B47" s="152" t="s">
        <v>4</v>
      </c>
      <c r="C47" s="219"/>
      <c r="D47" s="153">
        <v>110</v>
      </c>
      <c r="E47" s="154" t="s">
        <v>508</v>
      </c>
      <c r="F47" s="153">
        <v>48</v>
      </c>
      <c r="G47" s="154" t="s">
        <v>508</v>
      </c>
      <c r="H47" s="153">
        <v>33</v>
      </c>
      <c r="I47" s="154" t="s">
        <v>508</v>
      </c>
      <c r="J47" s="153">
        <v>14</v>
      </c>
      <c r="K47" s="154" t="s">
        <v>508</v>
      </c>
      <c r="L47" s="153">
        <v>13</v>
      </c>
      <c r="M47" s="154" t="s">
        <v>508</v>
      </c>
      <c r="N47" s="153">
        <v>2</v>
      </c>
      <c r="O47" s="154" t="s">
        <v>508</v>
      </c>
    </row>
    <row r="48" spans="1:15" s="142" customFormat="1" ht="12.75" customHeight="1" x14ac:dyDescent="0.25">
      <c r="A48" s="151"/>
      <c r="B48" s="152"/>
      <c r="C48" s="219"/>
      <c r="D48" s="153"/>
      <c r="E48" s="154"/>
      <c r="F48" s="153"/>
      <c r="G48" s="154"/>
      <c r="H48" s="153"/>
      <c r="I48" s="154"/>
      <c r="J48" s="153"/>
      <c r="K48" s="154"/>
      <c r="L48" s="153"/>
      <c r="M48" s="154"/>
      <c r="N48" s="153"/>
      <c r="O48" s="154"/>
    </row>
    <row r="49" spans="1:15" s="142" customFormat="1" ht="12.75" customHeight="1" x14ac:dyDescent="0.25">
      <c r="A49" s="151">
        <v>2013</v>
      </c>
      <c r="B49" s="152" t="s">
        <v>1</v>
      </c>
      <c r="C49" s="219"/>
      <c r="D49" s="153">
        <v>70</v>
      </c>
      <c r="E49" s="154" t="s">
        <v>508</v>
      </c>
      <c r="F49" s="153">
        <v>30</v>
      </c>
      <c r="G49" s="154" t="s">
        <v>508</v>
      </c>
      <c r="H49" s="153">
        <v>23</v>
      </c>
      <c r="I49" s="154" t="s">
        <v>508</v>
      </c>
      <c r="J49" s="153">
        <v>9</v>
      </c>
      <c r="K49" s="154" t="s">
        <v>508</v>
      </c>
      <c r="L49" s="153">
        <v>8</v>
      </c>
      <c r="M49" s="154" t="s">
        <v>508</v>
      </c>
      <c r="N49" s="153">
        <v>0</v>
      </c>
      <c r="O49" s="154" t="s">
        <v>508</v>
      </c>
    </row>
    <row r="50" spans="1:15" s="142" customFormat="1" ht="12.75" customHeight="1" x14ac:dyDescent="0.25">
      <c r="A50" s="151"/>
      <c r="B50" s="152" t="s">
        <v>2</v>
      </c>
      <c r="C50" s="219"/>
      <c r="D50" s="153">
        <v>113</v>
      </c>
      <c r="E50" s="154" t="s">
        <v>508</v>
      </c>
      <c r="F50" s="153">
        <v>66</v>
      </c>
      <c r="G50" s="154" t="s">
        <v>508</v>
      </c>
      <c r="H50" s="153">
        <v>25</v>
      </c>
      <c r="I50" s="154" t="s">
        <v>508</v>
      </c>
      <c r="J50" s="153">
        <v>13</v>
      </c>
      <c r="K50" s="154" t="s">
        <v>508</v>
      </c>
      <c r="L50" s="153">
        <v>8</v>
      </c>
      <c r="M50" s="154" t="s">
        <v>508</v>
      </c>
      <c r="N50" s="153">
        <v>1</v>
      </c>
      <c r="O50" s="154" t="s">
        <v>508</v>
      </c>
    </row>
    <row r="51" spans="1:15" s="142" customFormat="1" ht="12.75" customHeight="1" x14ac:dyDescent="0.25">
      <c r="A51" s="151"/>
      <c r="B51" s="152" t="s">
        <v>3</v>
      </c>
      <c r="C51" s="219"/>
      <c r="D51" s="153">
        <v>93</v>
      </c>
      <c r="E51" s="154" t="s">
        <v>508</v>
      </c>
      <c r="F51" s="153">
        <v>46</v>
      </c>
      <c r="G51" s="154" t="s">
        <v>508</v>
      </c>
      <c r="H51" s="153">
        <v>26</v>
      </c>
      <c r="I51" s="154" t="s">
        <v>508</v>
      </c>
      <c r="J51" s="153">
        <v>13</v>
      </c>
      <c r="K51" s="154" t="s">
        <v>508</v>
      </c>
      <c r="L51" s="153">
        <v>8</v>
      </c>
      <c r="M51" s="154" t="s">
        <v>508</v>
      </c>
      <c r="N51" s="153">
        <v>0</v>
      </c>
      <c r="O51" s="154" t="s">
        <v>508</v>
      </c>
    </row>
    <row r="52" spans="1:15" s="142" customFormat="1" ht="12.75" customHeight="1" x14ac:dyDescent="0.25">
      <c r="A52" s="151"/>
      <c r="B52" s="152" t="s">
        <v>4</v>
      </c>
      <c r="C52" s="219"/>
      <c r="D52" s="153">
        <v>81</v>
      </c>
      <c r="E52" s="154" t="s">
        <v>508</v>
      </c>
      <c r="F52" s="153">
        <v>36</v>
      </c>
      <c r="G52" s="154" t="s">
        <v>508</v>
      </c>
      <c r="H52" s="153">
        <v>24</v>
      </c>
      <c r="I52" s="154" t="s">
        <v>508</v>
      </c>
      <c r="J52" s="153">
        <v>12</v>
      </c>
      <c r="K52" s="154" t="s">
        <v>508</v>
      </c>
      <c r="L52" s="153">
        <v>9</v>
      </c>
      <c r="M52" s="154" t="s">
        <v>508</v>
      </c>
      <c r="N52" s="153">
        <v>0</v>
      </c>
      <c r="O52" s="154" t="s">
        <v>508</v>
      </c>
    </row>
    <row r="53" spans="1:15" s="142" customFormat="1" ht="12.75" customHeight="1" x14ac:dyDescent="0.25">
      <c r="A53" s="151"/>
      <c r="B53" s="152"/>
      <c r="C53" s="219"/>
      <c r="D53" s="153"/>
      <c r="E53" s="154"/>
      <c r="F53" s="153"/>
      <c r="G53" s="154"/>
      <c r="H53" s="153"/>
      <c r="I53" s="154"/>
      <c r="J53" s="153"/>
      <c r="K53" s="154"/>
      <c r="L53" s="153"/>
      <c r="M53" s="154"/>
      <c r="N53" s="153"/>
      <c r="O53" s="154"/>
    </row>
    <row r="54" spans="1:15" s="142" customFormat="1" ht="12.75" customHeight="1" x14ac:dyDescent="0.25">
      <c r="A54" s="151">
        <v>2014</v>
      </c>
      <c r="B54" s="152" t="s">
        <v>1</v>
      </c>
      <c r="C54" s="219"/>
      <c r="D54" s="153">
        <v>84</v>
      </c>
      <c r="E54" s="154" t="s">
        <v>508</v>
      </c>
      <c r="F54" s="153">
        <v>43</v>
      </c>
      <c r="G54" s="154" t="s">
        <v>508</v>
      </c>
      <c r="H54" s="153">
        <v>25</v>
      </c>
      <c r="I54" s="154" t="s">
        <v>508</v>
      </c>
      <c r="J54" s="153">
        <v>9</v>
      </c>
      <c r="K54" s="154" t="s">
        <v>508</v>
      </c>
      <c r="L54" s="153">
        <v>7</v>
      </c>
      <c r="M54" s="154" t="s">
        <v>508</v>
      </c>
      <c r="N54" s="153">
        <v>0</v>
      </c>
      <c r="O54" s="154" t="s">
        <v>508</v>
      </c>
    </row>
    <row r="55" spans="1:15" s="142" customFormat="1" ht="12.75" customHeight="1" x14ac:dyDescent="0.25">
      <c r="A55" s="151"/>
      <c r="B55" s="152" t="s">
        <v>2</v>
      </c>
      <c r="C55" s="219"/>
      <c r="D55" s="153">
        <v>92</v>
      </c>
      <c r="E55" s="154" t="s">
        <v>508</v>
      </c>
      <c r="F55" s="153">
        <v>52</v>
      </c>
      <c r="G55" s="154" t="s">
        <v>508</v>
      </c>
      <c r="H55" s="153">
        <v>22</v>
      </c>
      <c r="I55" s="154" t="s">
        <v>508</v>
      </c>
      <c r="J55" s="153">
        <v>7</v>
      </c>
      <c r="K55" s="154" t="s">
        <v>508</v>
      </c>
      <c r="L55" s="153">
        <v>10</v>
      </c>
      <c r="M55" s="154" t="s">
        <v>508</v>
      </c>
      <c r="N55" s="153">
        <v>1</v>
      </c>
      <c r="O55" s="154" t="s">
        <v>508</v>
      </c>
    </row>
    <row r="56" spans="1:15" s="142" customFormat="1" ht="12.75" customHeight="1" x14ac:dyDescent="0.25">
      <c r="A56" s="151"/>
      <c r="B56" s="152" t="s">
        <v>3</v>
      </c>
      <c r="C56" s="219"/>
      <c r="D56" s="153">
        <v>90</v>
      </c>
      <c r="E56" s="154" t="s">
        <v>508</v>
      </c>
      <c r="F56" s="153">
        <v>51</v>
      </c>
      <c r="G56" s="154" t="s">
        <v>508</v>
      </c>
      <c r="H56" s="153">
        <v>24</v>
      </c>
      <c r="I56" s="154" t="s">
        <v>508</v>
      </c>
      <c r="J56" s="153">
        <v>7</v>
      </c>
      <c r="K56" s="154" t="s">
        <v>508</v>
      </c>
      <c r="L56" s="153">
        <v>7</v>
      </c>
      <c r="M56" s="154" t="s">
        <v>508</v>
      </c>
      <c r="N56" s="153">
        <v>1</v>
      </c>
      <c r="O56" s="154" t="s">
        <v>508</v>
      </c>
    </row>
    <row r="57" spans="1:15" s="142" customFormat="1" ht="12.75" customHeight="1" x14ac:dyDescent="0.25">
      <c r="A57" s="151"/>
      <c r="B57" s="152" t="s">
        <v>4</v>
      </c>
      <c r="C57" s="219"/>
      <c r="D57" s="153">
        <v>114</v>
      </c>
      <c r="E57" s="154" t="s">
        <v>508</v>
      </c>
      <c r="F57" s="153">
        <v>75</v>
      </c>
      <c r="G57" s="154" t="s">
        <v>508</v>
      </c>
      <c r="H57" s="153">
        <v>19</v>
      </c>
      <c r="I57" s="154" t="s">
        <v>508</v>
      </c>
      <c r="J57" s="153">
        <v>6</v>
      </c>
      <c r="K57" s="154" t="s">
        <v>508</v>
      </c>
      <c r="L57" s="153">
        <v>13</v>
      </c>
      <c r="M57" s="154" t="s">
        <v>508</v>
      </c>
      <c r="N57" s="153">
        <v>1</v>
      </c>
      <c r="O57" s="154" t="s">
        <v>508</v>
      </c>
    </row>
    <row r="58" spans="1:15" s="142" customFormat="1" ht="12.75" customHeight="1" x14ac:dyDescent="0.25">
      <c r="A58" s="151"/>
      <c r="B58" s="152"/>
      <c r="C58" s="219"/>
      <c r="D58" s="153"/>
      <c r="E58" s="154"/>
      <c r="F58" s="153"/>
      <c r="G58" s="154"/>
      <c r="H58" s="153"/>
      <c r="I58" s="154"/>
      <c r="J58" s="153"/>
      <c r="K58" s="154"/>
      <c r="L58" s="153"/>
      <c r="M58" s="154"/>
      <c r="N58" s="153"/>
      <c r="O58" s="154"/>
    </row>
    <row r="59" spans="1:15" s="142" customFormat="1" ht="12.75" customHeight="1" x14ac:dyDescent="0.25">
      <c r="A59" s="151">
        <v>2015</v>
      </c>
      <c r="B59" s="152" t="s">
        <v>1</v>
      </c>
      <c r="C59" s="219"/>
      <c r="D59" s="153">
        <v>94</v>
      </c>
      <c r="E59" s="154" t="s">
        <v>508</v>
      </c>
      <c r="F59" s="153">
        <v>56</v>
      </c>
      <c r="G59" s="154" t="s">
        <v>508</v>
      </c>
      <c r="H59" s="153">
        <v>18</v>
      </c>
      <c r="I59" s="154" t="s">
        <v>508</v>
      </c>
      <c r="J59" s="153">
        <v>10</v>
      </c>
      <c r="K59" s="154" t="s">
        <v>508</v>
      </c>
      <c r="L59" s="153">
        <v>8</v>
      </c>
      <c r="M59" s="154" t="s">
        <v>508</v>
      </c>
      <c r="N59" s="153">
        <v>2</v>
      </c>
      <c r="O59" s="154" t="s">
        <v>508</v>
      </c>
    </row>
    <row r="60" spans="1:15" s="142" customFormat="1" ht="12.75" customHeight="1" x14ac:dyDescent="0.25">
      <c r="A60" s="151"/>
      <c r="B60" s="152" t="s">
        <v>2</v>
      </c>
      <c r="C60" s="219"/>
      <c r="D60" s="153">
        <v>79</v>
      </c>
      <c r="E60" s="154" t="s">
        <v>508</v>
      </c>
      <c r="F60" s="153">
        <v>40</v>
      </c>
      <c r="G60" s="154" t="s">
        <v>508</v>
      </c>
      <c r="H60" s="153">
        <v>24</v>
      </c>
      <c r="I60" s="154" t="s">
        <v>508</v>
      </c>
      <c r="J60" s="153">
        <v>3</v>
      </c>
      <c r="K60" s="154" t="s">
        <v>508</v>
      </c>
      <c r="L60" s="153">
        <v>11</v>
      </c>
      <c r="M60" s="154" t="s">
        <v>508</v>
      </c>
      <c r="N60" s="153">
        <v>1</v>
      </c>
      <c r="O60" s="154" t="s">
        <v>508</v>
      </c>
    </row>
    <row r="61" spans="1:15" s="142" customFormat="1" ht="12.75" customHeight="1" x14ac:dyDescent="0.25">
      <c r="A61" s="151"/>
      <c r="B61" s="152" t="s">
        <v>3</v>
      </c>
      <c r="C61" s="219"/>
      <c r="D61" s="153">
        <v>90</v>
      </c>
      <c r="E61" s="154" t="s">
        <v>508</v>
      </c>
      <c r="F61" s="153">
        <v>55</v>
      </c>
      <c r="G61" s="154" t="s">
        <v>508</v>
      </c>
      <c r="H61" s="153">
        <v>18</v>
      </c>
      <c r="I61" s="154" t="s">
        <v>508</v>
      </c>
      <c r="J61" s="153">
        <v>10</v>
      </c>
      <c r="K61" s="154" t="s">
        <v>508</v>
      </c>
      <c r="L61" s="153">
        <v>7</v>
      </c>
      <c r="M61" s="154" t="s">
        <v>508</v>
      </c>
      <c r="N61" s="153">
        <v>0</v>
      </c>
      <c r="O61" s="154" t="s">
        <v>508</v>
      </c>
    </row>
    <row r="62" spans="1:15" s="142" customFormat="1" ht="12.75" customHeight="1" x14ac:dyDescent="0.25">
      <c r="A62" s="151"/>
      <c r="B62" s="152" t="s">
        <v>4</v>
      </c>
      <c r="C62" s="219"/>
      <c r="D62" s="153">
        <v>115</v>
      </c>
      <c r="E62" s="154" t="s">
        <v>508</v>
      </c>
      <c r="F62" s="153">
        <v>74</v>
      </c>
      <c r="G62" s="154" t="s">
        <v>508</v>
      </c>
      <c r="H62" s="153">
        <v>16</v>
      </c>
      <c r="I62" s="154" t="s">
        <v>508</v>
      </c>
      <c r="J62" s="153">
        <v>12</v>
      </c>
      <c r="K62" s="154" t="s">
        <v>508</v>
      </c>
      <c r="L62" s="153">
        <v>13</v>
      </c>
      <c r="M62" s="154" t="s">
        <v>508</v>
      </c>
      <c r="N62" s="153">
        <v>0</v>
      </c>
      <c r="O62" s="154" t="s">
        <v>508</v>
      </c>
    </row>
    <row r="63" spans="1:15" s="142" customFormat="1" ht="12.75" customHeight="1" x14ac:dyDescent="0.25">
      <c r="A63" s="151"/>
      <c r="B63" s="152"/>
      <c r="C63" s="219"/>
      <c r="D63" s="153"/>
      <c r="E63" s="154"/>
      <c r="F63" s="153"/>
      <c r="G63" s="154"/>
      <c r="H63" s="153"/>
      <c r="I63" s="154"/>
      <c r="J63" s="153"/>
      <c r="K63" s="154"/>
      <c r="L63" s="153"/>
      <c r="M63" s="154"/>
      <c r="N63" s="153"/>
      <c r="O63" s="154"/>
    </row>
    <row r="64" spans="1:15" s="142" customFormat="1" ht="12.75" customHeight="1" x14ac:dyDescent="0.25">
      <c r="A64" s="151">
        <v>2016</v>
      </c>
      <c r="B64" s="152" t="s">
        <v>1</v>
      </c>
      <c r="C64" s="219" t="s">
        <v>197</v>
      </c>
      <c r="D64" s="153">
        <v>82</v>
      </c>
      <c r="E64" s="154" t="s">
        <v>508</v>
      </c>
      <c r="F64" s="153">
        <v>42</v>
      </c>
      <c r="G64" s="154" t="s">
        <v>508</v>
      </c>
      <c r="H64" s="153">
        <v>23</v>
      </c>
      <c r="I64" s="154" t="s">
        <v>508</v>
      </c>
      <c r="J64" s="153">
        <v>12</v>
      </c>
      <c r="K64" s="154" t="s">
        <v>508</v>
      </c>
      <c r="L64" s="153">
        <v>5</v>
      </c>
      <c r="M64" s="154" t="s">
        <v>508</v>
      </c>
      <c r="N64" s="153">
        <v>0</v>
      </c>
      <c r="O64" s="154" t="s">
        <v>508</v>
      </c>
    </row>
    <row r="65" spans="1:27" s="142" customFormat="1" ht="12.75" customHeight="1" x14ac:dyDescent="0.25">
      <c r="A65" s="151"/>
      <c r="B65" s="152" t="s">
        <v>2</v>
      </c>
      <c r="C65" s="219" t="s">
        <v>197</v>
      </c>
      <c r="D65" s="153">
        <v>115</v>
      </c>
      <c r="E65" s="154" t="s">
        <v>508</v>
      </c>
      <c r="F65" s="153">
        <v>71</v>
      </c>
      <c r="G65" s="154" t="s">
        <v>508</v>
      </c>
      <c r="H65" s="153">
        <v>29</v>
      </c>
      <c r="I65" s="154" t="s">
        <v>508</v>
      </c>
      <c r="J65" s="153">
        <v>9</v>
      </c>
      <c r="K65" s="154" t="s">
        <v>508</v>
      </c>
      <c r="L65" s="153">
        <v>3</v>
      </c>
      <c r="M65" s="154" t="s">
        <v>508</v>
      </c>
      <c r="N65" s="153">
        <v>3</v>
      </c>
      <c r="O65" s="154" t="s">
        <v>508</v>
      </c>
    </row>
    <row r="66" spans="1:27" s="142" customFormat="1" ht="12.75" customHeight="1" x14ac:dyDescent="0.25">
      <c r="A66" s="151"/>
      <c r="B66" s="152" t="s">
        <v>3</v>
      </c>
      <c r="C66" s="219" t="s">
        <v>197</v>
      </c>
      <c r="D66" s="153">
        <v>72</v>
      </c>
      <c r="E66" s="154" t="s">
        <v>508</v>
      </c>
      <c r="F66" s="153">
        <v>46</v>
      </c>
      <c r="G66" s="154" t="s">
        <v>508</v>
      </c>
      <c r="H66" s="153">
        <v>13</v>
      </c>
      <c r="I66" s="154" t="s">
        <v>508</v>
      </c>
      <c r="J66" s="153">
        <v>7</v>
      </c>
      <c r="K66" s="154" t="s">
        <v>508</v>
      </c>
      <c r="L66" s="153">
        <v>5</v>
      </c>
      <c r="M66" s="154" t="s">
        <v>508</v>
      </c>
      <c r="N66" s="153">
        <v>1</v>
      </c>
      <c r="O66" s="154" t="s">
        <v>508</v>
      </c>
    </row>
    <row r="67" spans="1:27" s="142" customFormat="1" ht="12.75" customHeight="1" x14ac:dyDescent="0.25">
      <c r="A67" s="152"/>
      <c r="B67" s="152" t="s">
        <v>4</v>
      </c>
      <c r="C67" s="219" t="s">
        <v>197</v>
      </c>
      <c r="D67" s="153">
        <v>124</v>
      </c>
      <c r="E67" s="154" t="s">
        <v>280</v>
      </c>
      <c r="F67" s="153">
        <v>84</v>
      </c>
      <c r="G67" s="154" t="s">
        <v>508</v>
      </c>
      <c r="H67" s="153">
        <v>24</v>
      </c>
      <c r="I67" s="154" t="s">
        <v>508</v>
      </c>
      <c r="J67" s="153">
        <v>4</v>
      </c>
      <c r="K67" s="154" t="s">
        <v>280</v>
      </c>
      <c r="L67" s="153">
        <v>12</v>
      </c>
      <c r="M67" s="154" t="s">
        <v>280</v>
      </c>
      <c r="N67" s="153">
        <v>0</v>
      </c>
      <c r="O67" s="154" t="s">
        <v>508</v>
      </c>
    </row>
    <row r="68" spans="1:27" s="142" customFormat="1" ht="12.75" customHeight="1" x14ac:dyDescent="0.25">
      <c r="A68" s="151"/>
      <c r="B68" s="152"/>
      <c r="C68" s="219"/>
      <c r="D68" s="153"/>
      <c r="E68" s="154"/>
      <c r="F68" s="153"/>
      <c r="G68" s="154"/>
      <c r="H68" s="153"/>
      <c r="I68" s="154"/>
      <c r="J68" s="153"/>
      <c r="K68" s="154"/>
      <c r="L68" s="153"/>
      <c r="M68" s="154"/>
      <c r="N68" s="153"/>
      <c r="O68" s="154"/>
    </row>
    <row r="69" spans="1:27" s="142" customFormat="1" ht="12.75" customHeight="1" x14ac:dyDescent="0.25">
      <c r="A69" s="151">
        <v>2017</v>
      </c>
      <c r="B69" s="152" t="s">
        <v>1</v>
      </c>
      <c r="C69" s="219" t="s">
        <v>415</v>
      </c>
      <c r="D69" s="153">
        <v>99</v>
      </c>
      <c r="E69" s="154" t="s">
        <v>508</v>
      </c>
      <c r="F69" s="153">
        <v>67</v>
      </c>
      <c r="G69" s="154" t="s">
        <v>508</v>
      </c>
      <c r="H69" s="153">
        <v>19</v>
      </c>
      <c r="I69" s="154" t="s">
        <v>508</v>
      </c>
      <c r="J69" s="153">
        <v>5</v>
      </c>
      <c r="K69" s="154" t="s">
        <v>508</v>
      </c>
      <c r="L69" s="153">
        <v>7</v>
      </c>
      <c r="M69" s="154" t="s">
        <v>508</v>
      </c>
      <c r="N69" s="153">
        <v>1</v>
      </c>
      <c r="O69" s="154" t="s">
        <v>508</v>
      </c>
      <c r="AA69" s="142" t="s">
        <v>508</v>
      </c>
    </row>
    <row r="70" spans="1:27" s="142" customFormat="1" ht="12.75" customHeight="1" thickBot="1" x14ac:dyDescent="0.3">
      <c r="A70" s="152"/>
      <c r="B70" s="156"/>
      <c r="C70" s="156"/>
      <c r="D70" s="153"/>
      <c r="E70" s="154"/>
      <c r="F70" s="153"/>
      <c r="G70" s="154"/>
      <c r="H70" s="153"/>
      <c r="I70" s="154"/>
      <c r="J70" s="153"/>
      <c r="K70" s="154"/>
      <c r="L70" s="153"/>
      <c r="M70" s="154"/>
      <c r="N70" s="153"/>
      <c r="O70" s="154"/>
    </row>
    <row r="71" spans="1:27" s="142" customFormat="1" ht="12.75" customHeight="1" x14ac:dyDescent="0.2">
      <c r="A71" s="159" t="s">
        <v>509</v>
      </c>
      <c r="B71" s="159"/>
      <c r="C71" s="159"/>
      <c r="D71" s="159"/>
      <c r="E71" s="221"/>
      <c r="F71" s="159"/>
      <c r="G71" s="221"/>
      <c r="H71" s="159"/>
      <c r="I71" s="221"/>
      <c r="J71" s="159"/>
      <c r="K71" s="221"/>
      <c r="L71" s="159"/>
      <c r="M71" s="221"/>
      <c r="N71" s="159"/>
      <c r="O71" s="221"/>
    </row>
    <row r="72" spans="1:27" s="142" customFormat="1" ht="12.75" customHeight="1" x14ac:dyDescent="0.2">
      <c r="A72" s="160"/>
      <c r="B72" s="160"/>
      <c r="C72" s="160"/>
      <c r="D72" s="160"/>
      <c r="E72" s="161"/>
      <c r="F72" s="160"/>
      <c r="G72" s="161"/>
      <c r="H72" s="160"/>
      <c r="I72" s="161"/>
      <c r="J72" s="160"/>
      <c r="K72" s="161"/>
      <c r="L72" s="160"/>
      <c r="M72" s="161"/>
      <c r="N72" s="160"/>
      <c r="O72" s="161"/>
    </row>
    <row r="73" spans="1:27" s="142" customFormat="1" ht="12.75" hidden="1" customHeight="1" x14ac:dyDescent="0.2">
      <c r="A73" s="162">
        <v>2016</v>
      </c>
      <c r="B73" s="163" t="s">
        <v>4</v>
      </c>
      <c r="C73" s="163"/>
      <c r="D73" s="164" t="s">
        <v>121</v>
      </c>
      <c r="E73" s="161"/>
      <c r="F73" s="164" t="s">
        <v>121</v>
      </c>
      <c r="G73" s="161"/>
      <c r="H73" s="164" t="s">
        <v>121</v>
      </c>
      <c r="I73" s="161"/>
      <c r="J73" s="164" t="s">
        <v>121</v>
      </c>
      <c r="K73" s="161"/>
      <c r="L73" s="164" t="s">
        <v>121</v>
      </c>
      <c r="M73" s="161"/>
      <c r="N73" s="164" t="s">
        <v>121</v>
      </c>
      <c r="O73" s="161"/>
    </row>
    <row r="74" spans="1:27" s="142" customFormat="1" ht="12.75" hidden="1" customHeight="1" x14ac:dyDescent="0.2">
      <c r="A74" s="165"/>
      <c r="B74" s="166"/>
      <c r="C74" s="166"/>
      <c r="D74" s="167"/>
      <c r="E74" s="281"/>
      <c r="F74" s="167"/>
      <c r="G74" s="281"/>
      <c r="H74" s="167"/>
      <c r="I74" s="281"/>
      <c r="J74" s="167"/>
      <c r="K74" s="281"/>
      <c r="L74" s="167"/>
      <c r="M74" s="281"/>
      <c r="N74" s="167"/>
      <c r="O74" s="281"/>
    </row>
    <row r="75" spans="1:27" s="142" customFormat="1" ht="12.75" customHeight="1" thickBot="1" x14ac:dyDescent="0.25">
      <c r="A75" s="157">
        <v>2016</v>
      </c>
      <c r="B75" s="158" t="s">
        <v>1</v>
      </c>
      <c r="C75" s="158"/>
      <c r="D75" s="168">
        <v>20.731707317073166</v>
      </c>
      <c r="E75" s="282"/>
      <c r="F75" s="168">
        <v>59.523809523809533</v>
      </c>
      <c r="G75" s="282"/>
      <c r="H75" s="168">
        <v>-17.391304347826086</v>
      </c>
      <c r="I75" s="282"/>
      <c r="J75" s="168">
        <v>-58.333333333333329</v>
      </c>
      <c r="K75" s="282"/>
      <c r="L75" s="168">
        <v>39.999999999999993</v>
      </c>
      <c r="M75" s="282"/>
      <c r="N75" s="168" t="s">
        <v>505</v>
      </c>
      <c r="O75" s="282"/>
    </row>
    <row r="76" spans="1:27" s="169" customFormat="1" ht="12.75" customHeight="1" x14ac:dyDescent="0.2">
      <c r="A76" s="342"/>
      <c r="B76" s="342"/>
      <c r="C76" s="342"/>
      <c r="D76" s="342"/>
      <c r="E76" s="342"/>
      <c r="F76" s="342"/>
      <c r="G76" s="342"/>
      <c r="H76" s="342"/>
      <c r="I76" s="342"/>
    </row>
    <row r="77" spans="1:27" s="169" customFormat="1" ht="12.75" customHeight="1" x14ac:dyDescent="0.2">
      <c r="A77" s="363" t="s">
        <v>232</v>
      </c>
      <c r="B77" s="363"/>
      <c r="C77" s="363"/>
      <c r="D77" s="363"/>
      <c r="E77" s="363"/>
      <c r="F77" s="363"/>
      <c r="G77" s="363"/>
      <c r="H77" s="363"/>
      <c r="I77" s="363"/>
      <c r="J77" s="363"/>
      <c r="K77" s="363"/>
      <c r="L77" s="363"/>
      <c r="M77" s="363"/>
      <c r="N77" s="363"/>
      <c r="O77" s="363"/>
    </row>
    <row r="78" spans="1:27" ht="30.75" customHeight="1" x14ac:dyDescent="0.3">
      <c r="A78" s="363" t="s">
        <v>471</v>
      </c>
      <c r="B78" s="363"/>
      <c r="C78" s="363"/>
      <c r="D78" s="363"/>
      <c r="E78" s="363"/>
      <c r="F78" s="363"/>
      <c r="G78" s="363"/>
      <c r="H78" s="363"/>
      <c r="I78" s="363"/>
      <c r="J78" s="363"/>
      <c r="K78" s="363"/>
      <c r="L78" s="363"/>
      <c r="M78" s="363"/>
      <c r="N78" s="363"/>
      <c r="O78" s="363"/>
    </row>
    <row r="79" spans="1:27" s="170" customFormat="1" ht="15" customHeight="1" x14ac:dyDescent="0.3">
      <c r="A79" s="340" t="s">
        <v>428</v>
      </c>
      <c r="B79" s="340"/>
      <c r="C79" s="340"/>
      <c r="D79" s="340"/>
      <c r="E79" s="340"/>
      <c r="F79" s="340"/>
      <c r="G79" s="340"/>
      <c r="H79" s="340"/>
      <c r="I79" s="340"/>
      <c r="J79" s="340"/>
      <c r="K79" s="340"/>
      <c r="L79" s="340"/>
      <c r="M79" s="340"/>
      <c r="N79" s="340"/>
      <c r="O79" s="340"/>
    </row>
    <row r="80" spans="1:27" s="171" customFormat="1" ht="15" customHeight="1" x14ac:dyDescent="0.3">
      <c r="A80" s="340" t="s">
        <v>429</v>
      </c>
      <c r="B80" s="340"/>
      <c r="C80" s="340"/>
      <c r="D80" s="340"/>
      <c r="E80" s="340"/>
      <c r="F80" s="340"/>
      <c r="G80" s="340"/>
      <c r="H80" s="340"/>
      <c r="I80" s="340"/>
      <c r="J80" s="340"/>
      <c r="K80" s="340"/>
      <c r="L80" s="340"/>
      <c r="M80" s="340"/>
      <c r="N80" s="340"/>
      <c r="O80" s="340"/>
    </row>
    <row r="81" spans="1:15" s="171" customFormat="1" ht="33" customHeight="1" x14ac:dyDescent="0.3">
      <c r="A81" s="363" t="s">
        <v>472</v>
      </c>
      <c r="B81" s="363"/>
      <c r="C81" s="363"/>
      <c r="D81" s="363"/>
      <c r="E81" s="363"/>
      <c r="F81" s="363"/>
      <c r="G81" s="363"/>
      <c r="H81" s="363"/>
      <c r="I81" s="363"/>
      <c r="J81" s="363"/>
      <c r="K81" s="363"/>
      <c r="L81" s="363"/>
      <c r="M81" s="363"/>
      <c r="N81" s="363"/>
      <c r="O81" s="363"/>
    </row>
  </sheetData>
  <dataConsolidate/>
  <mergeCells count="12">
    <mergeCell ref="A79:O79"/>
    <mergeCell ref="A80:O80"/>
    <mergeCell ref="A81:O81"/>
    <mergeCell ref="J7:K7"/>
    <mergeCell ref="L7:M7"/>
    <mergeCell ref="N7:O7"/>
    <mergeCell ref="A77:O77"/>
    <mergeCell ref="A78:O78"/>
    <mergeCell ref="D7:E7"/>
    <mergeCell ref="F7:G7"/>
    <mergeCell ref="H7:I7"/>
    <mergeCell ref="A76:I76"/>
  </mergeCells>
  <hyperlinks>
    <hyperlink ref="A5" location="'Table Contents'!A1" display="Back to contents"/>
  </hyperlinks>
  <printOptions horizontalCentered="1" verticalCentered="1" gridLinesSet="0"/>
  <pageMargins left="0.19685039370078741" right="0.19685039370078741" top="0.19685039370078741" bottom="0.19685039370078741" header="0.39370078740157483" footer="0.39370078740157483"/>
  <pageSetup paperSize="9" scale="92"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pageSetUpPr fitToPage="1"/>
  </sheetPr>
  <dimension ref="A1:AA73"/>
  <sheetViews>
    <sheetView showGridLines="0" zoomScaleNormal="100" workbookViewId="0">
      <pane xSplit="3" ySplit="5" topLeftCell="D6" activePane="bottomRight" state="frozen"/>
      <selection activeCell="S15" sqref="S15"/>
      <selection pane="topRight" activeCell="S15" sqref="S15"/>
      <selection pane="bottomLeft" activeCell="S15" sqref="S15"/>
      <selection pane="bottomRight" activeCell="D6" sqref="D6"/>
    </sheetView>
  </sheetViews>
  <sheetFormatPr defaultColWidth="8.85546875" defaultRowHeight="12.75" customHeight="1" x14ac:dyDescent="0.3"/>
  <cols>
    <col min="1" max="1" width="7.42578125" style="131" customWidth="1"/>
    <col min="2" max="2" width="4.85546875" style="131" customWidth="1"/>
    <col min="3" max="3" width="4.85546875" style="174" customWidth="1"/>
    <col min="4" max="4" width="12.7109375" style="172" customWidth="1"/>
    <col min="5" max="5" width="3.85546875" style="174" customWidth="1"/>
    <col min="6" max="6" width="12.7109375" style="172" customWidth="1"/>
    <col min="7" max="7" width="3.85546875" style="174" customWidth="1"/>
    <col min="8" max="8" width="12.7109375" style="172" customWidth="1"/>
    <col min="9" max="9" width="3.85546875" style="174" customWidth="1"/>
    <col min="10" max="16384" width="8.85546875" style="134"/>
  </cols>
  <sheetData>
    <row r="1" spans="1:11" ht="12.75" customHeight="1" x14ac:dyDescent="0.3">
      <c r="B1" s="132"/>
      <c r="C1" s="133"/>
      <c r="D1" s="132"/>
      <c r="E1" s="133"/>
      <c r="F1" s="132"/>
      <c r="G1" s="133"/>
      <c r="H1" s="132"/>
      <c r="I1" s="133"/>
    </row>
    <row r="2" spans="1:11" s="136" customFormat="1" ht="31.5" customHeight="1" x14ac:dyDescent="0.3">
      <c r="A2" s="193" t="s">
        <v>195</v>
      </c>
      <c r="B2" s="194"/>
      <c r="C2" s="194"/>
      <c r="D2" s="195" t="s">
        <v>234</v>
      </c>
      <c r="E2" s="133"/>
      <c r="F2" s="132"/>
      <c r="G2" s="133"/>
      <c r="H2" s="132"/>
      <c r="I2" s="133"/>
      <c r="J2" s="132"/>
    </row>
    <row r="3" spans="1:11" s="136" customFormat="1" ht="17.25" x14ac:dyDescent="0.3">
      <c r="A3" s="196" t="s">
        <v>154</v>
      </c>
      <c r="B3" s="197"/>
      <c r="C3" s="214"/>
      <c r="D3" s="198" t="s">
        <v>194</v>
      </c>
      <c r="E3" s="283"/>
      <c r="F3" s="188"/>
      <c r="G3" s="283"/>
      <c r="H3" s="188"/>
      <c r="I3" s="283"/>
      <c r="J3" s="132"/>
    </row>
    <row r="4" spans="1:11" ht="10.5" customHeight="1" thickBot="1" x14ac:dyDescent="0.35">
      <c r="A4" s="137"/>
      <c r="B4" s="137"/>
      <c r="C4" s="215"/>
      <c r="D4" s="137"/>
      <c r="E4" s="215"/>
      <c r="F4" s="137"/>
      <c r="G4" s="215"/>
      <c r="H4" s="137"/>
      <c r="I4" s="215"/>
    </row>
    <row r="5" spans="1:11" ht="47.25" customHeight="1" thickBot="1" x14ac:dyDescent="0.35">
      <c r="A5" s="231"/>
      <c r="B5" s="231"/>
      <c r="C5" s="232"/>
      <c r="D5" s="346" t="s">
        <v>137</v>
      </c>
      <c r="E5" s="346"/>
      <c r="F5" s="347" t="s">
        <v>116</v>
      </c>
      <c r="G5" s="347"/>
      <c r="H5" s="347" t="s">
        <v>231</v>
      </c>
      <c r="I5" s="347"/>
      <c r="J5" s="347" t="s">
        <v>168</v>
      </c>
      <c r="K5" s="347"/>
    </row>
    <row r="6" spans="1:11" s="142" customFormat="1" ht="12.75" customHeight="1" x14ac:dyDescent="0.25">
      <c r="A6" s="151">
        <v>2007</v>
      </c>
      <c r="B6" s="152" t="s">
        <v>1</v>
      </c>
      <c r="C6" s="219"/>
      <c r="D6" s="206" t="s">
        <v>67</v>
      </c>
      <c r="E6" s="154" t="s">
        <v>508</v>
      </c>
      <c r="F6" s="206" t="s">
        <v>67</v>
      </c>
      <c r="G6" s="154" t="s">
        <v>508</v>
      </c>
      <c r="H6" s="206" t="s">
        <v>67</v>
      </c>
      <c r="I6" s="154" t="s">
        <v>508</v>
      </c>
      <c r="J6" s="206" t="s">
        <v>67</v>
      </c>
      <c r="K6" s="154" t="s">
        <v>508</v>
      </c>
    </row>
    <row r="7" spans="1:11" s="142" customFormat="1" ht="12.75" customHeight="1" x14ac:dyDescent="0.25">
      <c r="A7" s="151"/>
      <c r="B7" s="152" t="s">
        <v>2</v>
      </c>
      <c r="C7" s="219"/>
      <c r="D7" s="206" t="s">
        <v>67</v>
      </c>
      <c r="E7" s="154" t="s">
        <v>508</v>
      </c>
      <c r="F7" s="206" t="s">
        <v>67</v>
      </c>
      <c r="G7" s="154" t="s">
        <v>508</v>
      </c>
      <c r="H7" s="206" t="s">
        <v>67</v>
      </c>
      <c r="I7" s="154" t="s">
        <v>508</v>
      </c>
      <c r="J7" s="206" t="s">
        <v>67</v>
      </c>
      <c r="K7" s="154" t="s">
        <v>508</v>
      </c>
    </row>
    <row r="8" spans="1:11" s="142" customFormat="1" ht="12.75" customHeight="1" x14ac:dyDescent="0.25">
      <c r="A8" s="151"/>
      <c r="B8" s="152" t="s">
        <v>3</v>
      </c>
      <c r="C8" s="219"/>
      <c r="D8" s="206" t="s">
        <v>67</v>
      </c>
      <c r="E8" s="154" t="s">
        <v>508</v>
      </c>
      <c r="F8" s="206" t="s">
        <v>67</v>
      </c>
      <c r="G8" s="154" t="s">
        <v>508</v>
      </c>
      <c r="H8" s="206" t="s">
        <v>67</v>
      </c>
      <c r="I8" s="154" t="s">
        <v>508</v>
      </c>
      <c r="J8" s="206" t="s">
        <v>67</v>
      </c>
      <c r="K8" s="154" t="s">
        <v>508</v>
      </c>
    </row>
    <row r="9" spans="1:11" s="142" customFormat="1" ht="12.75" customHeight="1" x14ac:dyDescent="0.25">
      <c r="A9" s="151"/>
      <c r="B9" s="152" t="s">
        <v>4</v>
      </c>
      <c r="C9" s="219"/>
      <c r="D9" s="206">
        <v>0.4748083757355549</v>
      </c>
      <c r="E9" s="154" t="s">
        <v>508</v>
      </c>
      <c r="F9" s="206">
        <v>0.35321110877888839</v>
      </c>
      <c r="G9" s="154" t="s">
        <v>508</v>
      </c>
      <c r="H9" s="206">
        <v>0.12159726695666649</v>
      </c>
      <c r="I9" s="154" t="s">
        <v>508</v>
      </c>
      <c r="J9" s="206" t="s">
        <v>67</v>
      </c>
      <c r="K9" s="154" t="s">
        <v>508</v>
      </c>
    </row>
    <row r="10" spans="1:11" s="142" customFormat="1" ht="12.75" customHeight="1" x14ac:dyDescent="0.25">
      <c r="A10" s="151"/>
      <c r="B10" s="152"/>
      <c r="C10" s="219"/>
      <c r="D10" s="206"/>
      <c r="E10" s="154"/>
      <c r="F10" s="206"/>
      <c r="G10" s="154"/>
      <c r="H10" s="206"/>
      <c r="I10" s="154"/>
      <c r="J10" s="206"/>
      <c r="K10" s="154"/>
    </row>
    <row r="11" spans="1:11" s="142" customFormat="1" ht="12.75" customHeight="1" x14ac:dyDescent="0.25">
      <c r="A11" s="151">
        <v>2008</v>
      </c>
      <c r="B11" s="152" t="s">
        <v>1</v>
      </c>
      <c r="C11" s="219"/>
      <c r="D11" s="206">
        <v>0.48854786332155076</v>
      </c>
      <c r="E11" s="154" t="s">
        <v>508</v>
      </c>
      <c r="F11" s="206">
        <v>0.37359542489295056</v>
      </c>
      <c r="G11" s="154" t="s">
        <v>508</v>
      </c>
      <c r="H11" s="206">
        <v>0.11495243842860017</v>
      </c>
      <c r="I11" s="154" t="s">
        <v>508</v>
      </c>
      <c r="J11" s="206" t="s">
        <v>67</v>
      </c>
      <c r="K11" s="154" t="s">
        <v>508</v>
      </c>
    </row>
    <row r="12" spans="1:11" s="142" customFormat="1" ht="12.75" customHeight="1" x14ac:dyDescent="0.25">
      <c r="A12" s="151"/>
      <c r="B12" s="152" t="s">
        <v>2</v>
      </c>
      <c r="C12" s="219"/>
      <c r="D12" s="206">
        <v>0.53670183941066918</v>
      </c>
      <c r="E12" s="154" t="s">
        <v>508</v>
      </c>
      <c r="F12" s="206">
        <v>0.40607599489801954</v>
      </c>
      <c r="G12" s="154" t="s">
        <v>508</v>
      </c>
      <c r="H12" s="206">
        <v>0.13062584451264964</v>
      </c>
      <c r="I12" s="154" t="s">
        <v>508</v>
      </c>
      <c r="J12" s="206" t="s">
        <v>67</v>
      </c>
      <c r="K12" s="154" t="s">
        <v>508</v>
      </c>
    </row>
    <row r="13" spans="1:11" s="142" customFormat="1" ht="12.75" customHeight="1" x14ac:dyDescent="0.25">
      <c r="A13" s="151"/>
      <c r="B13" s="152" t="s">
        <v>3</v>
      </c>
      <c r="C13" s="219"/>
      <c r="D13" s="206">
        <v>0.53700332464100209</v>
      </c>
      <c r="E13" s="154" t="s">
        <v>508</v>
      </c>
      <c r="F13" s="206">
        <v>0.3992380738168706</v>
      </c>
      <c r="G13" s="154" t="s">
        <v>508</v>
      </c>
      <c r="H13" s="206">
        <v>0.13776525082413141</v>
      </c>
      <c r="I13" s="154" t="s">
        <v>508</v>
      </c>
      <c r="J13" s="206" t="s">
        <v>67</v>
      </c>
      <c r="K13" s="154" t="s">
        <v>508</v>
      </c>
    </row>
    <row r="14" spans="1:11" s="142" customFormat="1" ht="12.75" customHeight="1" x14ac:dyDescent="0.25">
      <c r="A14" s="151"/>
      <c r="B14" s="152" t="s">
        <v>4</v>
      </c>
      <c r="C14" s="219"/>
      <c r="D14" s="206">
        <v>0.59742734635540728</v>
      </c>
      <c r="E14" s="154" t="s">
        <v>508</v>
      </c>
      <c r="F14" s="206">
        <v>0.45164363982848976</v>
      </c>
      <c r="G14" s="154" t="s">
        <v>508</v>
      </c>
      <c r="H14" s="206">
        <v>0.14578370652691758</v>
      </c>
      <c r="I14" s="154" t="s">
        <v>508</v>
      </c>
      <c r="J14" s="206" t="s">
        <v>67</v>
      </c>
      <c r="K14" s="154" t="s">
        <v>508</v>
      </c>
    </row>
    <row r="15" spans="1:11" s="142" customFormat="1" ht="12.75" customHeight="1" x14ac:dyDescent="0.25">
      <c r="A15" s="151"/>
      <c r="B15" s="152"/>
      <c r="C15" s="219"/>
      <c r="D15" s="206"/>
      <c r="E15" s="154"/>
      <c r="F15" s="206"/>
      <c r="G15" s="154"/>
      <c r="H15" s="206"/>
      <c r="I15" s="154"/>
      <c r="J15" s="206"/>
      <c r="K15" s="154"/>
    </row>
    <row r="16" spans="1:11" s="142" customFormat="1" ht="12.75" customHeight="1" x14ac:dyDescent="0.25">
      <c r="A16" s="151">
        <v>2009</v>
      </c>
      <c r="B16" s="152" t="s">
        <v>1</v>
      </c>
      <c r="C16" s="219"/>
      <c r="D16" s="206">
        <v>0.63742752463273222</v>
      </c>
      <c r="E16" s="154" t="s">
        <v>508</v>
      </c>
      <c r="F16" s="206">
        <v>0.4410770817771138</v>
      </c>
      <c r="G16" s="154" t="s">
        <v>508</v>
      </c>
      <c r="H16" s="206">
        <v>0.1963504428556184</v>
      </c>
      <c r="I16" s="154" t="s">
        <v>508</v>
      </c>
      <c r="J16" s="206" t="s">
        <v>67</v>
      </c>
      <c r="K16" s="154" t="s">
        <v>508</v>
      </c>
    </row>
    <row r="17" spans="1:11" s="142" customFormat="1" ht="12.75" customHeight="1" x14ac:dyDescent="0.25">
      <c r="A17" s="151"/>
      <c r="B17" s="152" t="s">
        <v>2</v>
      </c>
      <c r="C17" s="219"/>
      <c r="D17" s="206">
        <v>0.65647681344645614</v>
      </c>
      <c r="E17" s="154" t="s">
        <v>508</v>
      </c>
      <c r="F17" s="206">
        <v>0.44991298852580397</v>
      </c>
      <c r="G17" s="154" t="s">
        <v>508</v>
      </c>
      <c r="H17" s="206">
        <v>0.20656382492065217</v>
      </c>
      <c r="I17" s="154" t="s">
        <v>508</v>
      </c>
      <c r="J17" s="206" t="s">
        <v>67</v>
      </c>
      <c r="K17" s="154" t="s">
        <v>508</v>
      </c>
    </row>
    <row r="18" spans="1:11" s="142" customFormat="1" ht="12.75" customHeight="1" x14ac:dyDescent="0.25">
      <c r="A18" s="151"/>
      <c r="B18" s="152" t="s">
        <v>3</v>
      </c>
      <c r="C18" s="219"/>
      <c r="D18" s="206">
        <v>0.67262523188919043</v>
      </c>
      <c r="E18" s="154" t="s">
        <v>508</v>
      </c>
      <c r="F18" s="206">
        <v>0.44747871075473339</v>
      </c>
      <c r="G18" s="154" t="s">
        <v>508</v>
      </c>
      <c r="H18" s="206">
        <v>0.22514652113445704</v>
      </c>
      <c r="I18" s="154" t="s">
        <v>508</v>
      </c>
      <c r="J18" s="206" t="s">
        <v>67</v>
      </c>
      <c r="K18" s="154" t="s">
        <v>508</v>
      </c>
    </row>
    <row r="19" spans="1:11" s="142" customFormat="1" ht="12.75" customHeight="1" x14ac:dyDescent="0.25">
      <c r="A19" s="151"/>
      <c r="B19" s="152" t="s">
        <v>4</v>
      </c>
      <c r="C19" s="219"/>
      <c r="D19" s="206">
        <v>0.71373511862277683</v>
      </c>
      <c r="E19" s="154" t="s">
        <v>508</v>
      </c>
      <c r="F19" s="206">
        <v>0.46821023781654159</v>
      </c>
      <c r="G19" s="154" t="s">
        <v>508</v>
      </c>
      <c r="H19" s="206">
        <v>0.24552488080623525</v>
      </c>
      <c r="I19" s="154" t="s">
        <v>508</v>
      </c>
      <c r="J19" s="206" t="s">
        <v>67</v>
      </c>
      <c r="K19" s="154" t="s">
        <v>508</v>
      </c>
    </row>
    <row r="20" spans="1:11" s="142" customFormat="1" ht="12.75" customHeight="1" x14ac:dyDescent="0.25">
      <c r="A20" s="151"/>
      <c r="B20" s="152"/>
      <c r="C20" s="219"/>
      <c r="D20" s="206"/>
      <c r="E20" s="154"/>
      <c r="F20" s="206"/>
      <c r="G20" s="154"/>
      <c r="H20" s="206"/>
      <c r="I20" s="154"/>
      <c r="J20" s="206"/>
      <c r="K20" s="154"/>
    </row>
    <row r="21" spans="1:11" s="142" customFormat="1" ht="12.75" customHeight="1" x14ac:dyDescent="0.25">
      <c r="A21" s="151">
        <v>2010</v>
      </c>
      <c r="B21" s="152" t="s">
        <v>1</v>
      </c>
      <c r="C21" s="219"/>
      <c r="D21" s="206">
        <v>0.82048944474516405</v>
      </c>
      <c r="E21" s="154" t="s">
        <v>508</v>
      </c>
      <c r="F21" s="206">
        <v>0.5099569812825846</v>
      </c>
      <c r="G21" s="154" t="s">
        <v>508</v>
      </c>
      <c r="H21" s="206">
        <v>0.29628785504686478</v>
      </c>
      <c r="I21" s="154" t="s">
        <v>508</v>
      </c>
      <c r="J21" s="206">
        <v>1.4244608415714654E-2</v>
      </c>
      <c r="K21" s="154" t="s">
        <v>508</v>
      </c>
    </row>
    <row r="22" spans="1:11" s="142" customFormat="1" ht="12.75" customHeight="1" x14ac:dyDescent="0.25">
      <c r="A22" s="151"/>
      <c r="B22" s="152" t="s">
        <v>2</v>
      </c>
      <c r="C22" s="219"/>
      <c r="D22" s="206">
        <v>0.99531772575250854</v>
      </c>
      <c r="E22" s="154" t="s">
        <v>508</v>
      </c>
      <c r="F22" s="206">
        <v>0.65673456977804801</v>
      </c>
      <c r="G22" s="154" t="s">
        <v>508</v>
      </c>
      <c r="H22" s="206">
        <v>0.31523259349346305</v>
      </c>
      <c r="I22" s="154" t="s">
        <v>508</v>
      </c>
      <c r="J22" s="206">
        <v>2.3350562480997265E-2</v>
      </c>
      <c r="K22" s="154" t="s">
        <v>508</v>
      </c>
    </row>
    <row r="23" spans="1:11" s="142" customFormat="1" ht="12.75" customHeight="1" x14ac:dyDescent="0.25">
      <c r="A23" s="151"/>
      <c r="B23" s="152" t="s">
        <v>3</v>
      </c>
      <c r="C23" s="219"/>
      <c r="D23" s="206">
        <v>1.1094449057492348</v>
      </c>
      <c r="E23" s="154" t="s">
        <v>508</v>
      </c>
      <c r="F23" s="206">
        <v>0.75251893070926656</v>
      </c>
      <c r="G23" s="154" t="s">
        <v>508</v>
      </c>
      <c r="H23" s="206">
        <v>0.32123337753597148</v>
      </c>
      <c r="I23" s="154" t="s">
        <v>508</v>
      </c>
      <c r="J23" s="206">
        <v>3.569259750399683E-2</v>
      </c>
      <c r="K23" s="154" t="s">
        <v>508</v>
      </c>
    </row>
    <row r="24" spans="1:11" s="142" customFormat="1" ht="12.75" customHeight="1" x14ac:dyDescent="0.25">
      <c r="A24" s="151"/>
      <c r="B24" s="152" t="s">
        <v>4</v>
      </c>
      <c r="C24" s="219"/>
      <c r="D24" s="206">
        <v>1.128997915315253</v>
      </c>
      <c r="E24" s="154" t="s">
        <v>508</v>
      </c>
      <c r="F24" s="206">
        <v>0.74276178639161372</v>
      </c>
      <c r="G24" s="154" t="s">
        <v>508</v>
      </c>
      <c r="H24" s="206">
        <v>0.34464146888570879</v>
      </c>
      <c r="I24" s="154" t="s">
        <v>508</v>
      </c>
      <c r="J24" s="206">
        <v>4.1594660037930373E-2</v>
      </c>
      <c r="K24" s="154" t="s">
        <v>508</v>
      </c>
    </row>
    <row r="25" spans="1:11" s="142" customFormat="1" ht="12.75" customHeight="1" x14ac:dyDescent="0.25">
      <c r="A25" s="151"/>
      <c r="B25" s="152"/>
      <c r="C25" s="219"/>
      <c r="D25" s="206"/>
      <c r="E25" s="154"/>
      <c r="F25" s="206"/>
      <c r="G25" s="154"/>
      <c r="H25" s="206"/>
      <c r="I25" s="154"/>
      <c r="J25" s="206"/>
      <c r="K25" s="154"/>
    </row>
    <row r="26" spans="1:11" s="142" customFormat="1" ht="12.75" customHeight="1" x14ac:dyDescent="0.25">
      <c r="A26" s="151">
        <v>2011</v>
      </c>
      <c r="B26" s="152" t="s">
        <v>1</v>
      </c>
      <c r="C26" s="219"/>
      <c r="D26" s="206">
        <v>1.1497654819533976</v>
      </c>
      <c r="E26" s="154" t="s">
        <v>508</v>
      </c>
      <c r="F26" s="206">
        <v>0.78858260804133551</v>
      </c>
      <c r="G26" s="154" t="s">
        <v>508</v>
      </c>
      <c r="H26" s="206">
        <v>0.33108430108605685</v>
      </c>
      <c r="I26" s="154" t="s">
        <v>508</v>
      </c>
      <c r="J26" s="206">
        <v>3.0098572826005168E-2</v>
      </c>
      <c r="K26" s="154" t="s">
        <v>508</v>
      </c>
    </row>
    <row r="27" spans="1:11" s="142" customFormat="1" ht="12.75" customHeight="1" x14ac:dyDescent="0.25">
      <c r="A27" s="151"/>
      <c r="B27" s="152" t="s">
        <v>2</v>
      </c>
      <c r="C27" s="219"/>
      <c r="D27" s="206">
        <v>1.031083106384765</v>
      </c>
      <c r="E27" s="154" t="s">
        <v>508</v>
      </c>
      <c r="F27" s="206">
        <v>0.66961144265217487</v>
      </c>
      <c r="G27" s="154" t="s">
        <v>508</v>
      </c>
      <c r="H27" s="206">
        <v>0.32591707385725333</v>
      </c>
      <c r="I27" s="154" t="s">
        <v>508</v>
      </c>
      <c r="J27" s="206">
        <v>3.5554589875336724E-2</v>
      </c>
      <c r="K27" s="154" t="s">
        <v>508</v>
      </c>
    </row>
    <row r="28" spans="1:11" s="142" customFormat="1" ht="12.75" customHeight="1" x14ac:dyDescent="0.25">
      <c r="A28" s="151"/>
      <c r="B28" s="152" t="s">
        <v>3</v>
      </c>
      <c r="C28" s="219"/>
      <c r="D28" s="206">
        <v>1.00912071068695</v>
      </c>
      <c r="E28" s="154" t="s">
        <v>508</v>
      </c>
      <c r="F28" s="206">
        <v>0.62776695374130032</v>
      </c>
      <c r="G28" s="154" t="s">
        <v>508</v>
      </c>
      <c r="H28" s="206">
        <v>0.34321838125108478</v>
      </c>
      <c r="I28" s="154" t="s">
        <v>508</v>
      </c>
      <c r="J28" s="206">
        <v>3.8135375694564974E-2</v>
      </c>
      <c r="K28" s="154" t="s">
        <v>508</v>
      </c>
    </row>
    <row r="29" spans="1:11" s="142" customFormat="1" ht="12.75" customHeight="1" x14ac:dyDescent="0.25">
      <c r="A29" s="151"/>
      <c r="B29" s="152" t="s">
        <v>4</v>
      </c>
      <c r="C29" s="219"/>
      <c r="D29" s="206">
        <v>0.97119416898104116</v>
      </c>
      <c r="E29" s="154" t="s">
        <v>508</v>
      </c>
      <c r="F29" s="206">
        <v>0.60121543794064447</v>
      </c>
      <c r="G29" s="154" t="s">
        <v>508</v>
      </c>
      <c r="H29" s="206">
        <v>0.33529322500535946</v>
      </c>
      <c r="I29" s="154" t="s">
        <v>508</v>
      </c>
      <c r="J29" s="206">
        <v>3.4685506035037179E-2</v>
      </c>
      <c r="K29" s="154" t="s">
        <v>508</v>
      </c>
    </row>
    <row r="30" spans="1:11" s="142" customFormat="1" ht="12.75" customHeight="1" x14ac:dyDescent="0.25">
      <c r="A30" s="151"/>
      <c r="B30" s="152"/>
      <c r="C30" s="219"/>
      <c r="D30" s="206"/>
      <c r="E30" s="154"/>
      <c r="F30" s="206"/>
      <c r="G30" s="154"/>
      <c r="H30" s="206"/>
      <c r="I30" s="154"/>
      <c r="J30" s="206"/>
      <c r="K30" s="154"/>
    </row>
    <row r="31" spans="1:11" s="142" customFormat="1" ht="12.75" customHeight="1" x14ac:dyDescent="0.25">
      <c r="A31" s="151">
        <v>2012</v>
      </c>
      <c r="B31" s="152" t="s">
        <v>1</v>
      </c>
      <c r="C31" s="219"/>
      <c r="D31" s="206">
        <v>0.99399520565827282</v>
      </c>
      <c r="E31" s="154" t="s">
        <v>508</v>
      </c>
      <c r="F31" s="206">
        <v>0.62373911186006226</v>
      </c>
      <c r="G31" s="154" t="s">
        <v>508</v>
      </c>
      <c r="H31" s="206">
        <v>0.32753423682149385</v>
      </c>
      <c r="I31" s="154" t="s">
        <v>508</v>
      </c>
      <c r="J31" s="206">
        <v>4.2721856976716592E-2</v>
      </c>
      <c r="K31" s="154" t="s">
        <v>508</v>
      </c>
    </row>
    <row r="32" spans="1:11" s="142" customFormat="1" ht="12.75" customHeight="1" x14ac:dyDescent="0.25">
      <c r="A32" s="151"/>
      <c r="B32" s="152" t="s">
        <v>2</v>
      </c>
      <c r="C32" s="219"/>
      <c r="D32" s="206">
        <v>1.0715537997615654</v>
      </c>
      <c r="E32" s="154" t="s">
        <v>508</v>
      </c>
      <c r="F32" s="206">
        <v>0.65920194487949701</v>
      </c>
      <c r="G32" s="154" t="s">
        <v>508</v>
      </c>
      <c r="H32" s="206">
        <v>0.36185979101895793</v>
      </c>
      <c r="I32" s="154" t="s">
        <v>508</v>
      </c>
      <c r="J32" s="206">
        <v>5.0492063863110413E-2</v>
      </c>
      <c r="K32" s="154" t="s">
        <v>508</v>
      </c>
    </row>
    <row r="33" spans="1:11" s="142" customFormat="1" ht="12.75" customHeight="1" x14ac:dyDescent="0.25">
      <c r="A33" s="151"/>
      <c r="B33" s="152" t="s">
        <v>3</v>
      </c>
      <c r="C33" s="219"/>
      <c r="D33" s="206">
        <v>1.0971567192808755</v>
      </c>
      <c r="E33" s="154" t="s">
        <v>508</v>
      </c>
      <c r="F33" s="206">
        <v>0.69468214386628302</v>
      </c>
      <c r="G33" s="154" t="s">
        <v>508</v>
      </c>
      <c r="H33" s="206">
        <v>0.35836777262943165</v>
      </c>
      <c r="I33" s="154" t="s">
        <v>508</v>
      </c>
      <c r="J33" s="206">
        <v>4.4106802785160826E-2</v>
      </c>
      <c r="K33" s="154" t="s">
        <v>508</v>
      </c>
    </row>
    <row r="34" spans="1:11" s="142" customFormat="1" ht="12.75" customHeight="1" x14ac:dyDescent="0.25">
      <c r="A34" s="151"/>
      <c r="B34" s="152" t="s">
        <v>4</v>
      </c>
      <c r="C34" s="219"/>
      <c r="D34" s="206">
        <v>1.1003132459918292</v>
      </c>
      <c r="E34" s="154" t="s">
        <v>508</v>
      </c>
      <c r="F34" s="206">
        <v>0.68295304923630773</v>
      </c>
      <c r="G34" s="154" t="s">
        <v>508</v>
      </c>
      <c r="H34" s="206">
        <v>0.36857783609578509</v>
      </c>
      <c r="I34" s="154" t="s">
        <v>508</v>
      </c>
      <c r="J34" s="206">
        <v>4.8782360659736262E-2</v>
      </c>
      <c r="K34" s="154" t="s">
        <v>508</v>
      </c>
    </row>
    <row r="35" spans="1:11" s="142" customFormat="1" ht="12.75" customHeight="1" x14ac:dyDescent="0.25">
      <c r="A35" s="151"/>
      <c r="B35" s="152"/>
      <c r="C35" s="219"/>
      <c r="D35" s="206"/>
      <c r="E35" s="154"/>
      <c r="F35" s="206"/>
      <c r="G35" s="154"/>
      <c r="H35" s="206"/>
      <c r="I35" s="154"/>
      <c r="J35" s="206"/>
      <c r="K35" s="154"/>
    </row>
    <row r="36" spans="1:11" s="142" customFormat="1" ht="12.75" customHeight="1" x14ac:dyDescent="0.25">
      <c r="A36" s="151">
        <v>2013</v>
      </c>
      <c r="B36" s="152" t="s">
        <v>1</v>
      </c>
      <c r="C36" s="219"/>
      <c r="D36" s="206">
        <v>0.93720046860023432</v>
      </c>
      <c r="E36" s="154" t="s">
        <v>508</v>
      </c>
      <c r="F36" s="206">
        <v>0.5591252795626398</v>
      </c>
      <c r="G36" s="154" t="s">
        <v>508</v>
      </c>
      <c r="H36" s="206">
        <v>0.33281266640633322</v>
      </c>
      <c r="I36" s="154" t="s">
        <v>508</v>
      </c>
      <c r="J36" s="206">
        <v>4.526252263126132E-2</v>
      </c>
      <c r="K36" s="154" t="s">
        <v>508</v>
      </c>
    </row>
    <row r="37" spans="1:11" s="142" customFormat="1" ht="12.75" customHeight="1" x14ac:dyDescent="0.25">
      <c r="A37" s="151"/>
      <c r="B37" s="152" t="s">
        <v>2</v>
      </c>
      <c r="C37" s="219"/>
      <c r="D37" s="206">
        <v>0.87729061233575345</v>
      </c>
      <c r="E37" s="154" t="s">
        <v>508</v>
      </c>
      <c r="F37" s="206">
        <v>0.53423070124326477</v>
      </c>
      <c r="G37" s="154" t="s">
        <v>508</v>
      </c>
      <c r="H37" s="206">
        <v>0.29592190804161239</v>
      </c>
      <c r="I37" s="154" t="s">
        <v>508</v>
      </c>
      <c r="J37" s="206">
        <v>4.7138003050876308E-2</v>
      </c>
      <c r="K37" s="154" t="s">
        <v>508</v>
      </c>
    </row>
    <row r="38" spans="1:11" s="142" customFormat="1" ht="12.75" customHeight="1" x14ac:dyDescent="0.25">
      <c r="A38" s="151"/>
      <c r="B38" s="152" t="s">
        <v>3</v>
      </c>
      <c r="C38" s="219"/>
      <c r="D38" s="206">
        <v>0.81041446911420423</v>
      </c>
      <c r="E38" s="154" t="s">
        <v>508</v>
      </c>
      <c r="F38" s="206">
        <v>0.48882142581491678</v>
      </c>
      <c r="G38" s="154" t="s">
        <v>508</v>
      </c>
      <c r="H38" s="206">
        <v>0.27528364506419001</v>
      </c>
      <c r="I38" s="154" t="s">
        <v>508</v>
      </c>
      <c r="J38" s="206">
        <v>4.6309398235097374E-2</v>
      </c>
      <c r="K38" s="154" t="s">
        <v>508</v>
      </c>
    </row>
    <row r="39" spans="1:11" s="142" customFormat="1" ht="12.75" customHeight="1" x14ac:dyDescent="0.25">
      <c r="A39" s="151"/>
      <c r="B39" s="152" t="s">
        <v>4</v>
      </c>
      <c r="C39" s="219"/>
      <c r="D39" s="206">
        <v>0.75079788074447795</v>
      </c>
      <c r="E39" s="154" t="s">
        <v>508</v>
      </c>
      <c r="F39" s="206">
        <v>0.44997314064820559</v>
      </c>
      <c r="G39" s="154" t="s">
        <v>508</v>
      </c>
      <c r="H39" s="206">
        <v>0.24773802125575367</v>
      </c>
      <c r="I39" s="154" t="s">
        <v>508</v>
      </c>
      <c r="J39" s="206">
        <v>5.3086718840518639E-2</v>
      </c>
      <c r="K39" s="154" t="s">
        <v>508</v>
      </c>
    </row>
    <row r="40" spans="1:11" s="142" customFormat="1" ht="12.75" customHeight="1" x14ac:dyDescent="0.25">
      <c r="A40" s="151"/>
      <c r="B40" s="152"/>
      <c r="C40" s="219"/>
      <c r="D40" s="206"/>
      <c r="E40" s="154"/>
      <c r="F40" s="206"/>
      <c r="G40" s="154"/>
      <c r="H40" s="206"/>
      <c r="I40" s="154"/>
      <c r="J40" s="206"/>
      <c r="K40" s="154"/>
    </row>
    <row r="41" spans="1:11" s="142" customFormat="1" ht="12.75" customHeight="1" x14ac:dyDescent="0.25">
      <c r="A41" s="151">
        <v>2014</v>
      </c>
      <c r="B41" s="152" t="s">
        <v>1</v>
      </c>
      <c r="C41" s="219"/>
      <c r="D41" s="206">
        <v>0.7849696528082537</v>
      </c>
      <c r="E41" s="154" t="s">
        <v>508</v>
      </c>
      <c r="F41" s="206">
        <v>0.47445950533663434</v>
      </c>
      <c r="G41" s="154" t="s">
        <v>508</v>
      </c>
      <c r="H41" s="206">
        <v>0.24840811797729548</v>
      </c>
      <c r="I41" s="154" t="s">
        <v>508</v>
      </c>
      <c r="J41" s="206">
        <v>6.210202949432387E-2</v>
      </c>
      <c r="K41" s="154" t="s">
        <v>508</v>
      </c>
    </row>
    <row r="42" spans="1:11" s="142" customFormat="1" ht="12.75" customHeight="1" x14ac:dyDescent="0.25">
      <c r="A42" s="151"/>
      <c r="B42" s="152" t="s">
        <v>2</v>
      </c>
      <c r="C42" s="219"/>
      <c r="D42" s="206">
        <v>0.71663910883245507</v>
      </c>
      <c r="E42" s="154" t="s">
        <v>508</v>
      </c>
      <c r="F42" s="206">
        <v>0.43144599409300871</v>
      </c>
      <c r="G42" s="154" t="s">
        <v>508</v>
      </c>
      <c r="H42" s="206">
        <v>0.23644215495492565</v>
      </c>
      <c r="I42" s="154" t="s">
        <v>508</v>
      </c>
      <c r="J42" s="206">
        <v>4.8750959784520757E-2</v>
      </c>
      <c r="K42" s="154" t="s">
        <v>508</v>
      </c>
    </row>
    <row r="43" spans="1:11" s="142" customFormat="1" ht="12.75" customHeight="1" x14ac:dyDescent="0.25">
      <c r="A43" s="151"/>
      <c r="B43" s="152" t="s">
        <v>3</v>
      </c>
      <c r="C43" s="219"/>
      <c r="D43" s="206">
        <v>0.71379810053055792</v>
      </c>
      <c r="E43" s="154" t="s">
        <v>508</v>
      </c>
      <c r="F43" s="206">
        <v>0.43594380636430052</v>
      </c>
      <c r="G43" s="154" t="s">
        <v>508</v>
      </c>
      <c r="H43" s="206">
        <v>0.22755308573960742</v>
      </c>
      <c r="I43" s="154" t="s">
        <v>508</v>
      </c>
      <c r="J43" s="206">
        <v>5.0301208426650063E-2</v>
      </c>
      <c r="K43" s="154" t="s">
        <v>508</v>
      </c>
    </row>
    <row r="44" spans="1:11" s="142" customFormat="1" ht="12.75" customHeight="1" x14ac:dyDescent="0.25">
      <c r="A44" s="151"/>
      <c r="B44" s="152" t="s">
        <v>4</v>
      </c>
      <c r="C44" s="219"/>
      <c r="D44" s="206">
        <v>0.76967737886015575</v>
      </c>
      <c r="E44" s="154" t="s">
        <v>508</v>
      </c>
      <c r="F44" s="206">
        <v>0.52017951292995235</v>
      </c>
      <c r="G44" s="154" t="s">
        <v>508</v>
      </c>
      <c r="H44" s="206">
        <v>0.21183781069545571</v>
      </c>
      <c r="I44" s="154" t="s">
        <v>508</v>
      </c>
      <c r="J44" s="206">
        <v>3.7660055234747684E-2</v>
      </c>
      <c r="K44" s="154" t="s">
        <v>508</v>
      </c>
    </row>
    <row r="45" spans="1:11" s="142" customFormat="1" ht="12.75" customHeight="1" x14ac:dyDescent="0.25">
      <c r="A45" s="151"/>
      <c r="B45" s="152"/>
      <c r="C45" s="219"/>
      <c r="D45" s="206"/>
      <c r="E45" s="154"/>
      <c r="F45" s="206"/>
      <c r="G45" s="154"/>
      <c r="H45" s="206"/>
      <c r="I45" s="154"/>
      <c r="J45" s="206"/>
      <c r="K45" s="154"/>
    </row>
    <row r="46" spans="1:11" s="142" customFormat="1" ht="12.75" customHeight="1" x14ac:dyDescent="0.25">
      <c r="A46" s="151">
        <v>2015</v>
      </c>
      <c r="B46" s="152" t="s">
        <v>1</v>
      </c>
      <c r="C46" s="219"/>
      <c r="D46" s="206">
        <v>0.758482341582985</v>
      </c>
      <c r="E46" s="154" t="s">
        <v>508</v>
      </c>
      <c r="F46" s="206">
        <v>0.54111240222688561</v>
      </c>
      <c r="G46" s="154" t="s">
        <v>508</v>
      </c>
      <c r="H46" s="206">
        <v>0.19193303155910901</v>
      </c>
      <c r="I46" s="154" t="s">
        <v>508</v>
      </c>
      <c r="J46" s="206">
        <v>2.543690779699035E-2</v>
      </c>
      <c r="K46" s="154" t="s">
        <v>508</v>
      </c>
    </row>
    <row r="47" spans="1:11" s="142" customFormat="1" ht="12.75" customHeight="1" x14ac:dyDescent="0.25">
      <c r="A47" s="151"/>
      <c r="B47" s="152" t="s">
        <v>2</v>
      </c>
      <c r="C47" s="219"/>
      <c r="D47" s="206">
        <v>0.72655717853629009</v>
      </c>
      <c r="E47" s="154" t="s">
        <v>508</v>
      </c>
      <c r="F47" s="206">
        <v>0.5040490426095513</v>
      </c>
      <c r="G47" s="154" t="s">
        <v>508</v>
      </c>
      <c r="H47" s="206">
        <v>0.19299175054870205</v>
      </c>
      <c r="I47" s="154" t="s">
        <v>508</v>
      </c>
      <c r="J47" s="206">
        <v>2.9516385378036785E-2</v>
      </c>
      <c r="K47" s="154" t="s">
        <v>508</v>
      </c>
    </row>
    <row r="48" spans="1:11" s="142" customFormat="1" ht="12.75" customHeight="1" x14ac:dyDescent="0.25">
      <c r="A48" s="151"/>
      <c r="B48" s="152" t="s">
        <v>3</v>
      </c>
      <c r="C48" s="219"/>
      <c r="D48" s="206">
        <v>0.7062230803505124</v>
      </c>
      <c r="E48" s="154" t="s">
        <v>508</v>
      </c>
      <c r="F48" s="206">
        <v>0.50349027179563355</v>
      </c>
      <c r="G48" s="154" t="s">
        <v>508</v>
      </c>
      <c r="H48" s="206">
        <v>0.17599881182236743</v>
      </c>
      <c r="I48" s="154" t="s">
        <v>508</v>
      </c>
      <c r="J48" s="206">
        <v>2.6733996732511509E-2</v>
      </c>
      <c r="K48" s="154" t="s">
        <v>508</v>
      </c>
    </row>
    <row r="49" spans="1:27" s="142" customFormat="1" ht="12.75" customHeight="1" x14ac:dyDescent="0.25">
      <c r="A49" s="151"/>
      <c r="B49" s="152" t="s">
        <v>4</v>
      </c>
      <c r="C49" s="219"/>
      <c r="D49" s="206">
        <v>0.69977603522206044</v>
      </c>
      <c r="E49" s="154" t="s">
        <v>508</v>
      </c>
      <c r="F49" s="206">
        <v>0.49203002476551122</v>
      </c>
      <c r="G49" s="154" t="s">
        <v>508</v>
      </c>
      <c r="H49" s="206">
        <v>0.16619680836523937</v>
      </c>
      <c r="I49" s="154" t="s">
        <v>508</v>
      </c>
      <c r="J49" s="206">
        <v>4.1549202091309842E-2</v>
      </c>
      <c r="K49" s="154" t="s">
        <v>508</v>
      </c>
    </row>
    <row r="50" spans="1:27" s="142" customFormat="1" ht="12.75" customHeight="1" x14ac:dyDescent="0.25">
      <c r="A50" s="151"/>
      <c r="B50" s="152"/>
      <c r="C50" s="219"/>
      <c r="D50" s="206"/>
      <c r="E50" s="154"/>
      <c r="F50" s="206"/>
      <c r="G50" s="154"/>
      <c r="H50" s="206"/>
      <c r="I50" s="154"/>
      <c r="J50" s="206"/>
      <c r="K50" s="154"/>
    </row>
    <row r="51" spans="1:27" s="142" customFormat="1" ht="12.75" customHeight="1" x14ac:dyDescent="0.25">
      <c r="A51" s="151">
        <v>2016</v>
      </c>
      <c r="B51" s="152" t="s">
        <v>1</v>
      </c>
      <c r="C51" s="219" t="s">
        <v>197</v>
      </c>
      <c r="D51" s="206">
        <v>0.66967879028536492</v>
      </c>
      <c r="E51" s="154" t="s">
        <v>508</v>
      </c>
      <c r="F51" s="206">
        <v>0.45289174599426918</v>
      </c>
      <c r="G51" s="154" t="s">
        <v>508</v>
      </c>
      <c r="H51" s="206">
        <v>0.17385891670870049</v>
      </c>
      <c r="I51" s="154" t="s">
        <v>508</v>
      </c>
      <c r="J51" s="206">
        <v>4.2928127582395184E-2</v>
      </c>
      <c r="K51" s="154" t="s">
        <v>508</v>
      </c>
    </row>
    <row r="52" spans="1:27" s="142" customFormat="1" ht="12.75" customHeight="1" x14ac:dyDescent="0.25">
      <c r="A52" s="151"/>
      <c r="B52" s="152" t="s">
        <v>2</v>
      </c>
      <c r="C52" s="219" t="s">
        <v>197</v>
      </c>
      <c r="D52" s="206">
        <v>0.73347571942446044</v>
      </c>
      <c r="E52" s="154" t="s">
        <v>508</v>
      </c>
      <c r="F52" s="206">
        <v>0.51006070143884896</v>
      </c>
      <c r="G52" s="154" t="s">
        <v>508</v>
      </c>
      <c r="H52" s="206">
        <v>0.18126124100719426</v>
      </c>
      <c r="I52" s="154" t="s">
        <v>508</v>
      </c>
      <c r="J52" s="206">
        <v>4.2153776978417268E-2</v>
      </c>
      <c r="K52" s="154" t="s">
        <v>508</v>
      </c>
    </row>
    <row r="53" spans="1:27" s="142" customFormat="1" ht="12.75" customHeight="1" x14ac:dyDescent="0.25">
      <c r="A53" s="151"/>
      <c r="B53" s="152" t="s">
        <v>3</v>
      </c>
      <c r="C53" s="219" t="s">
        <v>197</v>
      </c>
      <c r="D53" s="206">
        <v>0.69214190981432377</v>
      </c>
      <c r="E53" s="154" t="s">
        <v>508</v>
      </c>
      <c r="F53" s="206">
        <v>0.48284151193633956</v>
      </c>
      <c r="G53" s="154" t="s">
        <v>508</v>
      </c>
      <c r="H53" s="206">
        <v>0.16785477453580905</v>
      </c>
      <c r="I53" s="154" t="s">
        <v>508</v>
      </c>
      <c r="J53" s="206">
        <v>4.1445623342175074E-2</v>
      </c>
      <c r="K53" s="154" t="s">
        <v>508</v>
      </c>
    </row>
    <row r="54" spans="1:27" s="142" customFormat="1" ht="12.75" customHeight="1" x14ac:dyDescent="0.25">
      <c r="A54" s="152"/>
      <c r="B54" s="152" t="s">
        <v>4</v>
      </c>
      <c r="C54" s="219" t="s">
        <v>197</v>
      </c>
      <c r="D54" s="206">
        <v>0.70418952060161399</v>
      </c>
      <c r="E54" s="154" t="s">
        <v>508</v>
      </c>
      <c r="F54" s="206">
        <v>0.49456084828379249</v>
      </c>
      <c r="G54" s="154" t="s">
        <v>508</v>
      </c>
      <c r="H54" s="206">
        <v>0.18113545472122444</v>
      </c>
      <c r="I54" s="154" t="s">
        <v>508</v>
      </c>
      <c r="J54" s="206">
        <v>2.8493217596597103E-2</v>
      </c>
      <c r="K54" s="154" t="s">
        <v>508</v>
      </c>
    </row>
    <row r="55" spans="1:27" s="142" customFormat="1" ht="12.75" customHeight="1" x14ac:dyDescent="0.25">
      <c r="A55" s="151"/>
      <c r="B55" s="152"/>
      <c r="C55" s="219"/>
      <c r="D55" s="206"/>
      <c r="E55" s="154"/>
      <c r="F55" s="206"/>
      <c r="G55" s="154"/>
      <c r="H55" s="206"/>
      <c r="I55" s="154"/>
      <c r="J55" s="206"/>
      <c r="K55" s="154"/>
    </row>
    <row r="56" spans="1:27" s="142" customFormat="1" ht="12.75" customHeight="1" x14ac:dyDescent="0.25">
      <c r="A56" s="151">
        <v>2017</v>
      </c>
      <c r="B56" s="152" t="s">
        <v>1</v>
      </c>
      <c r="C56" s="219" t="s">
        <v>415</v>
      </c>
      <c r="D56" s="206">
        <v>0.741611889777683</v>
      </c>
      <c r="E56" s="154" t="s">
        <v>508</v>
      </c>
      <c r="F56" s="206">
        <v>0.53571964005503792</v>
      </c>
      <c r="G56" s="154" t="s">
        <v>508</v>
      </c>
      <c r="H56" s="206">
        <v>0.16991107986820231</v>
      </c>
      <c r="I56" s="154" t="s">
        <v>508</v>
      </c>
      <c r="J56" s="206">
        <v>3.5981169854442843E-2</v>
      </c>
      <c r="K56" s="154" t="s">
        <v>508</v>
      </c>
      <c r="AA56" s="142" t="s">
        <v>508</v>
      </c>
    </row>
    <row r="57" spans="1:27" s="142" customFormat="1" ht="12.75" customHeight="1" thickBot="1" x14ac:dyDescent="0.3">
      <c r="A57" s="152"/>
      <c r="B57" s="156"/>
      <c r="C57" s="220"/>
      <c r="D57" s="206"/>
      <c r="E57" s="154"/>
      <c r="F57" s="206"/>
      <c r="G57" s="154"/>
      <c r="H57" s="206"/>
      <c r="I57" s="154"/>
      <c r="J57" s="206"/>
      <c r="K57" s="154"/>
    </row>
    <row r="58" spans="1:27" s="142" customFormat="1" ht="12.75" customHeight="1" x14ac:dyDescent="0.2">
      <c r="A58" s="159" t="s">
        <v>510</v>
      </c>
      <c r="B58" s="159"/>
      <c r="C58" s="221"/>
      <c r="D58" s="207"/>
      <c r="E58" s="221"/>
      <c r="F58" s="207"/>
      <c r="G58" s="221"/>
      <c r="H58" s="207"/>
      <c r="I58" s="221"/>
      <c r="J58" s="207"/>
      <c r="K58" s="221"/>
    </row>
    <row r="59" spans="1:27" s="142" customFormat="1" ht="12.75" customHeight="1" x14ac:dyDescent="0.2">
      <c r="A59" s="160"/>
      <c r="B59" s="160"/>
      <c r="C59" s="161"/>
      <c r="D59" s="208"/>
      <c r="E59" s="161"/>
      <c r="F59" s="208"/>
      <c r="G59" s="161"/>
      <c r="H59" s="208"/>
      <c r="I59" s="161"/>
      <c r="J59" s="208"/>
      <c r="K59" s="161"/>
    </row>
    <row r="60" spans="1:27" s="142" customFormat="1" ht="12.75" customHeight="1" x14ac:dyDescent="0.2">
      <c r="A60" s="162">
        <v>2016</v>
      </c>
      <c r="B60" s="163" t="s">
        <v>4</v>
      </c>
      <c r="C60" s="222"/>
      <c r="D60" s="209">
        <v>3.7422369176069004E-2</v>
      </c>
      <c r="E60" s="161"/>
      <c r="F60" s="209">
        <v>4.1158791771245429E-2</v>
      </c>
      <c r="G60" s="161"/>
      <c r="H60" s="209">
        <v>-1.1224374853022134E-2</v>
      </c>
      <c r="I60" s="161"/>
      <c r="J60" s="209">
        <v>7.4879522578457404E-3</v>
      </c>
      <c r="K60" s="161"/>
    </row>
    <row r="61" spans="1:27" s="142" customFormat="1" ht="12.75" customHeight="1" x14ac:dyDescent="0.2">
      <c r="A61" s="165"/>
      <c r="B61" s="166"/>
      <c r="C61" s="223"/>
      <c r="D61" s="210"/>
      <c r="E61" s="281"/>
      <c r="F61" s="210"/>
      <c r="G61" s="281"/>
      <c r="H61" s="210"/>
      <c r="I61" s="281"/>
      <c r="J61" s="210"/>
      <c r="K61" s="281"/>
    </row>
    <row r="62" spans="1:27" s="142" customFormat="1" ht="12.75" customHeight="1" thickBot="1" x14ac:dyDescent="0.25">
      <c r="A62" s="157">
        <v>2016</v>
      </c>
      <c r="B62" s="158" t="s">
        <v>1</v>
      </c>
      <c r="C62" s="224"/>
      <c r="D62" s="211">
        <v>7.1933099492318076E-2</v>
      </c>
      <c r="E62" s="282"/>
      <c r="F62" s="211">
        <v>8.2827894060768736E-2</v>
      </c>
      <c r="G62" s="282"/>
      <c r="H62" s="211">
        <v>-3.9478368404981812E-3</v>
      </c>
      <c r="I62" s="282"/>
      <c r="J62" s="211">
        <v>-6.9469577279523409E-3</v>
      </c>
      <c r="K62" s="282"/>
    </row>
    <row r="63" spans="1:27" s="169" customFormat="1" ht="12.75" customHeight="1" x14ac:dyDescent="0.2">
      <c r="A63" s="342"/>
      <c r="B63" s="342"/>
      <c r="C63" s="342"/>
      <c r="D63" s="342"/>
      <c r="E63" s="342"/>
      <c r="F63" s="342"/>
      <c r="G63" s="342"/>
      <c r="H63" s="342"/>
      <c r="I63" s="342"/>
    </row>
    <row r="64" spans="1:27" s="169" customFormat="1" ht="49.5" customHeight="1" x14ac:dyDescent="0.2">
      <c r="A64" s="340" t="s">
        <v>270</v>
      </c>
      <c r="B64" s="340"/>
      <c r="C64" s="340"/>
      <c r="D64" s="340"/>
      <c r="E64" s="340"/>
      <c r="F64" s="340"/>
      <c r="G64" s="340"/>
      <c r="H64" s="340"/>
      <c r="I64" s="340"/>
    </row>
    <row r="65" spans="1:15" s="170" customFormat="1" ht="49.5" customHeight="1" x14ac:dyDescent="0.3">
      <c r="A65" s="363" t="s">
        <v>235</v>
      </c>
      <c r="B65" s="363"/>
      <c r="C65" s="363"/>
      <c r="D65" s="363"/>
      <c r="E65" s="363"/>
      <c r="F65" s="363"/>
      <c r="G65" s="363"/>
      <c r="H65" s="363"/>
      <c r="I65" s="363"/>
      <c r="J65" s="363"/>
      <c r="K65" s="260"/>
    </row>
    <row r="66" spans="1:15" s="171" customFormat="1" ht="53.25" customHeight="1" x14ac:dyDescent="0.3">
      <c r="A66" s="363" t="s">
        <v>267</v>
      </c>
      <c r="B66" s="363"/>
      <c r="C66" s="363"/>
      <c r="D66" s="363"/>
      <c r="E66" s="363"/>
      <c r="F66" s="363"/>
      <c r="G66" s="363"/>
      <c r="H66" s="363"/>
      <c r="I66" s="363"/>
      <c r="J66" s="363"/>
      <c r="K66" s="260"/>
      <c r="L66" s="260"/>
      <c r="M66" s="260"/>
      <c r="N66" s="260"/>
      <c r="O66" s="260"/>
    </row>
    <row r="67" spans="1:15" s="171" customFormat="1" ht="27.75" customHeight="1" x14ac:dyDescent="0.3">
      <c r="A67" s="345"/>
      <c r="B67" s="345"/>
      <c r="C67" s="345"/>
      <c r="D67" s="345"/>
      <c r="E67" s="345"/>
      <c r="F67" s="345"/>
      <c r="G67" s="345"/>
      <c r="H67" s="345"/>
      <c r="I67" s="345"/>
    </row>
    <row r="68" spans="1:15" ht="12.75" customHeight="1" x14ac:dyDescent="0.3">
      <c r="A68" s="345"/>
      <c r="B68" s="345"/>
      <c r="C68" s="345"/>
      <c r="D68" s="345"/>
      <c r="E68" s="345"/>
      <c r="F68" s="345"/>
      <c r="G68" s="345"/>
      <c r="H68" s="345"/>
      <c r="I68" s="345"/>
    </row>
    <row r="69" spans="1:15" ht="12.75" customHeight="1" x14ac:dyDescent="0.3">
      <c r="A69" s="345"/>
      <c r="B69" s="345"/>
      <c r="C69" s="345"/>
      <c r="D69" s="345"/>
      <c r="E69" s="345"/>
      <c r="F69" s="345"/>
      <c r="G69" s="345"/>
      <c r="H69" s="345"/>
      <c r="I69" s="345"/>
    </row>
    <row r="70" spans="1:15" ht="12.75" customHeight="1" x14ac:dyDescent="0.3">
      <c r="A70" s="345"/>
      <c r="B70" s="345"/>
      <c r="C70" s="345"/>
      <c r="D70" s="345"/>
      <c r="E70" s="345"/>
      <c r="F70" s="345"/>
      <c r="G70" s="345"/>
      <c r="H70" s="345"/>
      <c r="I70" s="345"/>
    </row>
    <row r="71" spans="1:15" ht="12.75" customHeight="1" x14ac:dyDescent="0.3">
      <c r="A71" s="345"/>
      <c r="B71" s="345"/>
      <c r="C71" s="345"/>
      <c r="D71" s="345"/>
      <c r="E71" s="345"/>
      <c r="F71" s="345"/>
      <c r="G71" s="345"/>
      <c r="H71" s="345"/>
      <c r="I71" s="345"/>
    </row>
    <row r="72" spans="1:15" ht="12.75" customHeight="1" x14ac:dyDescent="0.3">
      <c r="A72" s="345"/>
      <c r="B72" s="345"/>
      <c r="C72" s="345"/>
      <c r="D72" s="345"/>
      <c r="E72" s="345"/>
      <c r="F72" s="345"/>
      <c r="G72" s="345"/>
      <c r="H72" s="345"/>
      <c r="I72" s="345"/>
    </row>
    <row r="73" spans="1:15" ht="12.75" customHeight="1" x14ac:dyDescent="0.3">
      <c r="A73" s="345"/>
      <c r="B73" s="345"/>
      <c r="C73" s="345"/>
      <c r="D73" s="345"/>
      <c r="E73" s="345"/>
      <c r="F73" s="345"/>
      <c r="G73" s="345"/>
      <c r="H73" s="345"/>
      <c r="I73" s="345"/>
    </row>
  </sheetData>
  <dataConsolidate/>
  <mergeCells count="15">
    <mergeCell ref="A72:I72"/>
    <mergeCell ref="A73:I73"/>
    <mergeCell ref="A67:I67"/>
    <mergeCell ref="A68:I68"/>
    <mergeCell ref="A69:I69"/>
    <mergeCell ref="A70:I70"/>
    <mergeCell ref="A71:I71"/>
    <mergeCell ref="A66:J66"/>
    <mergeCell ref="D5:E5"/>
    <mergeCell ref="F5:G5"/>
    <mergeCell ref="H5:I5"/>
    <mergeCell ref="A63:I63"/>
    <mergeCell ref="A64:I64"/>
    <mergeCell ref="A65:J65"/>
    <mergeCell ref="J5:K5"/>
  </mergeCells>
  <hyperlinks>
    <hyperlink ref="A3" location="'Table Contents'!A1" display="Back to contents"/>
  </hyperlinks>
  <printOptions horizontalCentered="1" verticalCentered="1" gridLinesSet="0"/>
  <pageMargins left="0.19685039370078741" right="0.19685039370078741" top="0.19685039370078741" bottom="0.19685039370078741" header="0.39370078740157483" footer="0.39370078740157483"/>
  <pageSetup paperSize="9" scale="44" orientation="portrait" horizontalDpi="300" verticalDpi="4294967292"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fitToPage="1"/>
  </sheetPr>
  <dimension ref="A1:AA84"/>
  <sheetViews>
    <sheetView showGridLines="0" zoomScaleNormal="100" workbookViewId="0">
      <pane xSplit="3" ySplit="5" topLeftCell="D6" activePane="bottomRight" state="frozen"/>
      <selection activeCell="D18" sqref="D18:P18"/>
      <selection pane="topRight" activeCell="D18" sqref="D18:P18"/>
      <selection pane="bottomLeft" activeCell="D18" sqref="D18:P18"/>
      <selection pane="bottomRight" activeCell="D6" sqref="D6"/>
    </sheetView>
  </sheetViews>
  <sheetFormatPr defaultColWidth="8.85546875" defaultRowHeight="12.75" customHeight="1" x14ac:dyDescent="0.3"/>
  <cols>
    <col min="1" max="1" width="7.42578125" style="131" customWidth="1"/>
    <col min="2" max="2" width="4.85546875" style="131" customWidth="1"/>
    <col min="3" max="3" width="4.85546875" style="174" customWidth="1"/>
    <col min="4" max="4" width="12.85546875" style="172" customWidth="1"/>
    <col min="5" max="5" width="3.85546875" style="174" customWidth="1"/>
    <col min="6" max="6" width="12.85546875" style="172" customWidth="1"/>
    <col min="7" max="7" width="3.85546875" style="174" customWidth="1"/>
    <col min="8" max="8" width="12.85546875" style="172" customWidth="1"/>
    <col min="9" max="9" width="3.85546875" style="174" customWidth="1"/>
    <col min="10" max="10" width="12.85546875" style="173" customWidth="1"/>
    <col min="11" max="11" width="3.85546875" style="174" customWidth="1"/>
    <col min="12" max="16384" width="8.85546875" style="134"/>
  </cols>
  <sheetData>
    <row r="1" spans="1:16" ht="12.75" customHeight="1" x14ac:dyDescent="0.3">
      <c r="B1" s="132"/>
      <c r="C1" s="133"/>
      <c r="D1" s="132"/>
      <c r="E1" s="133"/>
      <c r="F1" s="132"/>
      <c r="G1" s="133"/>
      <c r="H1" s="132"/>
      <c r="I1" s="133"/>
      <c r="J1" s="132"/>
      <c r="K1" s="133"/>
    </row>
    <row r="2" spans="1:16" s="136" customFormat="1" ht="31.5" customHeight="1" x14ac:dyDescent="0.3">
      <c r="A2" s="193" t="s">
        <v>204</v>
      </c>
      <c r="B2" s="194"/>
      <c r="C2" s="194"/>
      <c r="D2" s="195" t="s">
        <v>170</v>
      </c>
      <c r="E2" s="133"/>
      <c r="F2" s="132"/>
      <c r="G2" s="133"/>
      <c r="H2" s="132"/>
      <c r="I2" s="133"/>
      <c r="J2" s="132"/>
      <c r="K2" s="133"/>
      <c r="L2" s="132"/>
      <c r="M2" s="132"/>
      <c r="N2" s="132"/>
    </row>
    <row r="3" spans="1:16" s="136" customFormat="1" ht="17.25" x14ac:dyDescent="0.3">
      <c r="A3" s="196" t="s">
        <v>154</v>
      </c>
      <c r="B3" s="197"/>
      <c r="C3" s="214"/>
      <c r="D3" s="198" t="s">
        <v>191</v>
      </c>
      <c r="E3" s="283"/>
      <c r="F3" s="188"/>
      <c r="G3" s="283"/>
      <c r="H3" s="188"/>
      <c r="I3" s="283"/>
      <c r="J3" s="188"/>
      <c r="K3" s="283"/>
      <c r="L3" s="132"/>
      <c r="M3" s="132"/>
      <c r="N3" s="132"/>
    </row>
    <row r="4" spans="1:16" ht="10.5" customHeight="1" thickBot="1" x14ac:dyDescent="0.35">
      <c r="A4" s="137"/>
      <c r="B4" s="137"/>
      <c r="C4" s="215"/>
      <c r="D4" s="137"/>
      <c r="E4" s="215"/>
      <c r="F4" s="137"/>
      <c r="G4" s="215"/>
      <c r="H4" s="137"/>
      <c r="I4" s="215"/>
      <c r="J4" s="337"/>
      <c r="K4" s="337"/>
    </row>
    <row r="5" spans="1:16" ht="30.75" customHeight="1" thickBot="1" x14ac:dyDescent="0.35">
      <c r="A5" s="231"/>
      <c r="B5" s="231"/>
      <c r="C5" s="232"/>
      <c r="D5" s="346" t="s">
        <v>123</v>
      </c>
      <c r="E5" s="346"/>
      <c r="F5" s="347" t="s">
        <v>124</v>
      </c>
      <c r="G5" s="347"/>
      <c r="H5" s="347" t="s">
        <v>271</v>
      </c>
      <c r="I5" s="347"/>
      <c r="J5" s="347" t="s">
        <v>125</v>
      </c>
      <c r="K5" s="347"/>
    </row>
    <row r="6" spans="1:16" s="146" customFormat="1" ht="12.75" customHeight="1" x14ac:dyDescent="0.25">
      <c r="A6" s="143">
        <v>2007</v>
      </c>
      <c r="B6" s="143"/>
      <c r="C6" s="213"/>
      <c r="D6" s="144">
        <v>1338</v>
      </c>
      <c r="E6" s="145" t="s">
        <v>508</v>
      </c>
      <c r="F6" s="144">
        <v>898</v>
      </c>
      <c r="G6" s="145" t="s">
        <v>508</v>
      </c>
      <c r="H6" s="144" t="s">
        <v>207</v>
      </c>
      <c r="I6" s="145" t="s">
        <v>508</v>
      </c>
      <c r="J6" s="144">
        <v>440</v>
      </c>
      <c r="K6" s="145" t="s">
        <v>508</v>
      </c>
    </row>
    <row r="7" spans="1:16" s="146" customFormat="1" ht="12.75" customHeight="1" x14ac:dyDescent="0.25">
      <c r="A7" s="143">
        <v>2008</v>
      </c>
      <c r="B7" s="143"/>
      <c r="C7" s="213"/>
      <c r="D7" s="144">
        <v>1638</v>
      </c>
      <c r="E7" s="145" t="s">
        <v>508</v>
      </c>
      <c r="F7" s="144">
        <v>1079</v>
      </c>
      <c r="G7" s="145" t="s">
        <v>508</v>
      </c>
      <c r="H7" s="144" t="s">
        <v>207</v>
      </c>
      <c r="I7" s="145" t="s">
        <v>508</v>
      </c>
      <c r="J7" s="144">
        <v>559</v>
      </c>
      <c r="K7" s="145" t="s">
        <v>508</v>
      </c>
    </row>
    <row r="8" spans="1:16" s="146" customFormat="1" ht="12.75" customHeight="1" x14ac:dyDescent="0.25">
      <c r="A8" s="143">
        <v>2009</v>
      </c>
      <c r="B8" s="143"/>
      <c r="C8" s="213"/>
      <c r="D8" s="144">
        <v>1958</v>
      </c>
      <c r="E8" s="145" t="s">
        <v>508</v>
      </c>
      <c r="F8" s="144">
        <v>1236</v>
      </c>
      <c r="G8" s="145" t="s">
        <v>508</v>
      </c>
      <c r="H8" s="144" t="s">
        <v>207</v>
      </c>
      <c r="I8" s="145" t="s">
        <v>508</v>
      </c>
      <c r="J8" s="144">
        <v>722</v>
      </c>
      <c r="K8" s="145" t="s">
        <v>508</v>
      </c>
    </row>
    <row r="9" spans="1:16" s="146" customFormat="1" ht="12.75" customHeight="1" x14ac:dyDescent="0.25">
      <c r="A9" s="143">
        <v>2010</v>
      </c>
      <c r="B9" s="143"/>
      <c r="C9" s="213"/>
      <c r="D9" s="144">
        <v>2323</v>
      </c>
      <c r="E9" s="145" t="s">
        <v>508</v>
      </c>
      <c r="F9" s="144">
        <v>1321</v>
      </c>
      <c r="G9" s="145" t="s">
        <v>508</v>
      </c>
      <c r="H9" s="144" t="s">
        <v>207</v>
      </c>
      <c r="I9" s="145" t="s">
        <v>508</v>
      </c>
      <c r="J9" s="144">
        <v>1002</v>
      </c>
      <c r="K9" s="145" t="s">
        <v>508</v>
      </c>
    </row>
    <row r="10" spans="1:16" s="146" customFormat="1" ht="12.75" customHeight="1" x14ac:dyDescent="0.25">
      <c r="A10" s="143">
        <v>2011</v>
      </c>
      <c r="B10" s="143"/>
      <c r="C10" s="213"/>
      <c r="D10" s="144">
        <v>2839</v>
      </c>
      <c r="E10" s="145" t="s">
        <v>508</v>
      </c>
      <c r="F10" s="144">
        <v>1615</v>
      </c>
      <c r="G10" s="145" t="s">
        <v>508</v>
      </c>
      <c r="H10" s="144">
        <v>112</v>
      </c>
      <c r="I10" s="145" t="s">
        <v>508</v>
      </c>
      <c r="J10" s="144">
        <v>1112</v>
      </c>
      <c r="K10" s="145" t="s">
        <v>508</v>
      </c>
    </row>
    <row r="11" spans="1:16" s="146" customFormat="1" ht="12.75" customHeight="1" x14ac:dyDescent="0.25">
      <c r="A11" s="143">
        <v>2012</v>
      </c>
      <c r="B11" s="143"/>
      <c r="C11" s="213"/>
      <c r="D11" s="144">
        <v>3189</v>
      </c>
      <c r="E11" s="145" t="s">
        <v>508</v>
      </c>
      <c r="F11" s="144">
        <v>1452</v>
      </c>
      <c r="G11" s="145" t="s">
        <v>508</v>
      </c>
      <c r="H11" s="144">
        <v>506</v>
      </c>
      <c r="I11" s="145" t="s">
        <v>508</v>
      </c>
      <c r="J11" s="144">
        <v>1231</v>
      </c>
      <c r="K11" s="145" t="s">
        <v>508</v>
      </c>
    </row>
    <row r="12" spans="1:16" s="146" customFormat="1" ht="12.75" customHeight="1" x14ac:dyDescent="0.25">
      <c r="A12" s="143">
        <v>2013</v>
      </c>
      <c r="B12" s="143"/>
      <c r="C12" s="213"/>
      <c r="D12" s="144">
        <v>3373</v>
      </c>
      <c r="E12" s="145" t="s">
        <v>508</v>
      </c>
      <c r="F12" s="144">
        <v>1347</v>
      </c>
      <c r="G12" s="145" t="s">
        <v>508</v>
      </c>
      <c r="H12" s="144">
        <v>593</v>
      </c>
      <c r="I12" s="145" t="s">
        <v>508</v>
      </c>
      <c r="J12" s="144">
        <v>1433</v>
      </c>
      <c r="K12" s="145" t="s">
        <v>508</v>
      </c>
    </row>
    <row r="13" spans="1:16" s="146" customFormat="1" ht="12.75" customHeight="1" x14ac:dyDescent="0.25">
      <c r="A13" s="143">
        <v>2014</v>
      </c>
      <c r="B13" s="143"/>
      <c r="C13" s="213"/>
      <c r="D13" s="144">
        <v>3395</v>
      </c>
      <c r="E13" s="145" t="s">
        <v>508</v>
      </c>
      <c r="F13" s="144">
        <v>1367</v>
      </c>
      <c r="G13" s="145" t="s">
        <v>508</v>
      </c>
      <c r="H13" s="144">
        <v>536</v>
      </c>
      <c r="I13" s="145" t="s">
        <v>508</v>
      </c>
      <c r="J13" s="144">
        <v>1492</v>
      </c>
      <c r="K13" s="145" t="s">
        <v>508</v>
      </c>
    </row>
    <row r="14" spans="1:16" s="146" customFormat="1" ht="12.75" customHeight="1" x14ac:dyDescent="0.25">
      <c r="A14" s="143">
        <v>2015</v>
      </c>
      <c r="B14" s="143"/>
      <c r="C14" s="213"/>
      <c r="D14" s="144">
        <v>2690</v>
      </c>
      <c r="E14" s="145" t="s">
        <v>508</v>
      </c>
      <c r="F14" s="144">
        <v>1071</v>
      </c>
      <c r="G14" s="145" t="s">
        <v>508</v>
      </c>
      <c r="H14" s="144">
        <v>472</v>
      </c>
      <c r="I14" s="145" t="s">
        <v>508</v>
      </c>
      <c r="J14" s="144">
        <v>1147</v>
      </c>
      <c r="K14" s="145" t="s">
        <v>508</v>
      </c>
      <c r="P14" s="147"/>
    </row>
    <row r="15" spans="1:16" s="146" customFormat="1" ht="12.75" customHeight="1" x14ac:dyDescent="0.25">
      <c r="A15" s="143">
        <v>2016</v>
      </c>
      <c r="B15" s="213" t="s">
        <v>508</v>
      </c>
      <c r="C15" s="217"/>
      <c r="D15" s="144">
        <v>2582</v>
      </c>
      <c r="E15" s="145" t="s">
        <v>508</v>
      </c>
      <c r="F15" s="144">
        <v>997</v>
      </c>
      <c r="G15" s="145" t="s">
        <v>508</v>
      </c>
      <c r="H15" s="144">
        <v>366</v>
      </c>
      <c r="I15" s="145" t="s">
        <v>508</v>
      </c>
      <c r="J15" s="144">
        <v>1219</v>
      </c>
      <c r="K15" s="145" t="s">
        <v>508</v>
      </c>
    </row>
    <row r="16" spans="1:16" s="142" customFormat="1" ht="12.75" customHeight="1" x14ac:dyDescent="0.25">
      <c r="A16" s="148"/>
      <c r="B16" s="148"/>
      <c r="C16" s="218"/>
      <c r="D16" s="320"/>
      <c r="E16" s="154"/>
      <c r="F16" s="320"/>
      <c r="G16" s="154"/>
      <c r="H16" s="320"/>
      <c r="I16" s="154"/>
      <c r="J16" s="320"/>
      <c r="K16" s="154"/>
    </row>
    <row r="17" spans="1:11" s="142" customFormat="1" ht="12.75" customHeight="1" x14ac:dyDescent="0.25">
      <c r="A17" s="151">
        <v>2007</v>
      </c>
      <c r="B17" s="152" t="s">
        <v>1</v>
      </c>
      <c r="C17" s="219"/>
      <c r="D17" s="153">
        <v>343</v>
      </c>
      <c r="E17" s="154" t="s">
        <v>508</v>
      </c>
      <c r="F17" s="153">
        <v>218</v>
      </c>
      <c r="G17" s="154" t="s">
        <v>508</v>
      </c>
      <c r="H17" s="153" t="s">
        <v>207</v>
      </c>
      <c r="I17" s="154" t="s">
        <v>508</v>
      </c>
      <c r="J17" s="153">
        <v>125</v>
      </c>
      <c r="K17" s="154" t="s">
        <v>508</v>
      </c>
    </row>
    <row r="18" spans="1:11" s="142" customFormat="1" ht="12.75" customHeight="1" x14ac:dyDescent="0.25">
      <c r="A18" s="151"/>
      <c r="B18" s="152" t="s">
        <v>2</v>
      </c>
      <c r="C18" s="219"/>
      <c r="D18" s="153">
        <v>338</v>
      </c>
      <c r="E18" s="154" t="s">
        <v>508</v>
      </c>
      <c r="F18" s="153">
        <v>228</v>
      </c>
      <c r="G18" s="154" t="s">
        <v>508</v>
      </c>
      <c r="H18" s="153" t="s">
        <v>207</v>
      </c>
      <c r="I18" s="154" t="s">
        <v>508</v>
      </c>
      <c r="J18" s="153">
        <v>110</v>
      </c>
      <c r="K18" s="154" t="s">
        <v>508</v>
      </c>
    </row>
    <row r="19" spans="1:11" s="142" customFormat="1" ht="12.75" customHeight="1" x14ac:dyDescent="0.25">
      <c r="A19" s="151"/>
      <c r="B19" s="152" t="s">
        <v>3</v>
      </c>
      <c r="C19" s="219"/>
      <c r="D19" s="153">
        <v>338</v>
      </c>
      <c r="E19" s="154" t="s">
        <v>508</v>
      </c>
      <c r="F19" s="153">
        <v>227</v>
      </c>
      <c r="G19" s="154" t="s">
        <v>508</v>
      </c>
      <c r="H19" s="153" t="s">
        <v>207</v>
      </c>
      <c r="I19" s="154" t="s">
        <v>508</v>
      </c>
      <c r="J19" s="153">
        <v>111</v>
      </c>
      <c r="K19" s="154" t="s">
        <v>508</v>
      </c>
    </row>
    <row r="20" spans="1:11" s="142" customFormat="1" ht="12.75" customHeight="1" x14ac:dyDescent="0.25">
      <c r="A20" s="151"/>
      <c r="B20" s="152" t="s">
        <v>4</v>
      </c>
      <c r="C20" s="219"/>
      <c r="D20" s="153">
        <v>319</v>
      </c>
      <c r="E20" s="154" t="s">
        <v>508</v>
      </c>
      <c r="F20" s="153">
        <v>225</v>
      </c>
      <c r="G20" s="154" t="s">
        <v>508</v>
      </c>
      <c r="H20" s="153" t="s">
        <v>207</v>
      </c>
      <c r="I20" s="154" t="s">
        <v>508</v>
      </c>
      <c r="J20" s="153">
        <v>94</v>
      </c>
      <c r="K20" s="154" t="s">
        <v>508</v>
      </c>
    </row>
    <row r="21" spans="1:11" s="142" customFormat="1" ht="12.75" customHeight="1" x14ac:dyDescent="0.25">
      <c r="A21" s="151"/>
      <c r="B21" s="152"/>
      <c r="C21" s="219"/>
      <c r="D21" s="153"/>
      <c r="E21" s="154"/>
      <c r="F21" s="153"/>
      <c r="G21" s="154"/>
      <c r="H21" s="153"/>
      <c r="I21" s="154"/>
      <c r="J21" s="153"/>
      <c r="K21" s="154"/>
    </row>
    <row r="22" spans="1:11" s="142" customFormat="1" ht="12.75" customHeight="1" x14ac:dyDescent="0.25">
      <c r="A22" s="151">
        <v>2008</v>
      </c>
      <c r="B22" s="152" t="s">
        <v>1</v>
      </c>
      <c r="C22" s="219"/>
      <c r="D22" s="153">
        <v>330</v>
      </c>
      <c r="E22" s="154" t="s">
        <v>508</v>
      </c>
      <c r="F22" s="153">
        <v>226</v>
      </c>
      <c r="G22" s="154" t="s">
        <v>508</v>
      </c>
      <c r="H22" s="153" t="s">
        <v>207</v>
      </c>
      <c r="I22" s="154" t="s">
        <v>508</v>
      </c>
      <c r="J22" s="153">
        <v>104</v>
      </c>
      <c r="K22" s="154" t="s">
        <v>508</v>
      </c>
    </row>
    <row r="23" spans="1:11" s="142" customFormat="1" ht="12.75" customHeight="1" x14ac:dyDescent="0.25">
      <c r="A23" s="151"/>
      <c r="B23" s="152" t="s">
        <v>2</v>
      </c>
      <c r="C23" s="219"/>
      <c r="D23" s="153">
        <v>479</v>
      </c>
      <c r="E23" s="154" t="s">
        <v>508</v>
      </c>
      <c r="F23" s="153">
        <v>331</v>
      </c>
      <c r="G23" s="154" t="s">
        <v>508</v>
      </c>
      <c r="H23" s="153" t="s">
        <v>207</v>
      </c>
      <c r="I23" s="154" t="s">
        <v>508</v>
      </c>
      <c r="J23" s="153">
        <v>148</v>
      </c>
      <c r="K23" s="154" t="s">
        <v>508</v>
      </c>
    </row>
    <row r="24" spans="1:11" s="142" customFormat="1" ht="12.75" customHeight="1" x14ac:dyDescent="0.25">
      <c r="A24" s="151"/>
      <c r="B24" s="152" t="s">
        <v>3</v>
      </c>
      <c r="C24" s="219"/>
      <c r="D24" s="153">
        <v>386</v>
      </c>
      <c r="E24" s="154" t="s">
        <v>508</v>
      </c>
      <c r="F24" s="153">
        <v>229</v>
      </c>
      <c r="G24" s="154" t="s">
        <v>508</v>
      </c>
      <c r="H24" s="153" t="s">
        <v>207</v>
      </c>
      <c r="I24" s="154" t="s">
        <v>508</v>
      </c>
      <c r="J24" s="153">
        <v>157</v>
      </c>
      <c r="K24" s="154" t="s">
        <v>508</v>
      </c>
    </row>
    <row r="25" spans="1:11" s="142" customFormat="1" ht="12.75" customHeight="1" x14ac:dyDescent="0.25">
      <c r="A25" s="151"/>
      <c r="B25" s="152" t="s">
        <v>4</v>
      </c>
      <c r="C25" s="219"/>
      <c r="D25" s="153">
        <v>443</v>
      </c>
      <c r="E25" s="154" t="s">
        <v>508</v>
      </c>
      <c r="F25" s="153">
        <v>293</v>
      </c>
      <c r="G25" s="154" t="s">
        <v>508</v>
      </c>
      <c r="H25" s="153" t="s">
        <v>207</v>
      </c>
      <c r="I25" s="154" t="s">
        <v>508</v>
      </c>
      <c r="J25" s="153">
        <v>150</v>
      </c>
      <c r="K25" s="154" t="s">
        <v>508</v>
      </c>
    </row>
    <row r="26" spans="1:11" s="142" customFormat="1" ht="12.75" customHeight="1" x14ac:dyDescent="0.25">
      <c r="A26" s="151"/>
      <c r="B26" s="152"/>
      <c r="C26" s="219"/>
      <c r="D26" s="153"/>
      <c r="E26" s="154"/>
      <c r="F26" s="153"/>
      <c r="G26" s="154"/>
      <c r="H26" s="153"/>
      <c r="I26" s="154"/>
      <c r="J26" s="153"/>
      <c r="K26" s="154"/>
    </row>
    <row r="27" spans="1:11" s="142" customFormat="1" ht="12.75" customHeight="1" x14ac:dyDescent="0.25">
      <c r="A27" s="151">
        <v>2009</v>
      </c>
      <c r="B27" s="152" t="s">
        <v>1</v>
      </c>
      <c r="C27" s="219"/>
      <c r="D27" s="153">
        <v>446</v>
      </c>
      <c r="E27" s="154" t="s">
        <v>508</v>
      </c>
      <c r="F27" s="153">
        <v>302</v>
      </c>
      <c r="G27" s="154" t="s">
        <v>508</v>
      </c>
      <c r="H27" s="153" t="s">
        <v>207</v>
      </c>
      <c r="I27" s="154" t="s">
        <v>508</v>
      </c>
      <c r="J27" s="153">
        <v>144</v>
      </c>
      <c r="K27" s="154" t="s">
        <v>508</v>
      </c>
    </row>
    <row r="28" spans="1:11" s="142" customFormat="1" ht="12.75" customHeight="1" x14ac:dyDescent="0.25">
      <c r="A28" s="151"/>
      <c r="B28" s="152" t="s">
        <v>2</v>
      </c>
      <c r="C28" s="219"/>
      <c r="D28" s="153">
        <v>560</v>
      </c>
      <c r="E28" s="154" t="s">
        <v>508</v>
      </c>
      <c r="F28" s="153">
        <v>355</v>
      </c>
      <c r="G28" s="154" t="s">
        <v>508</v>
      </c>
      <c r="H28" s="153" t="s">
        <v>207</v>
      </c>
      <c r="I28" s="154" t="s">
        <v>508</v>
      </c>
      <c r="J28" s="153">
        <v>205</v>
      </c>
      <c r="K28" s="154" t="s">
        <v>508</v>
      </c>
    </row>
    <row r="29" spans="1:11" s="142" customFormat="1" ht="12.75" customHeight="1" x14ac:dyDescent="0.25">
      <c r="A29" s="151"/>
      <c r="B29" s="152" t="s">
        <v>3</v>
      </c>
      <c r="C29" s="219"/>
      <c r="D29" s="153">
        <v>379</v>
      </c>
      <c r="E29" s="154" t="s">
        <v>508</v>
      </c>
      <c r="F29" s="153">
        <v>198</v>
      </c>
      <c r="G29" s="154" t="s">
        <v>508</v>
      </c>
      <c r="H29" s="153" t="s">
        <v>207</v>
      </c>
      <c r="I29" s="154" t="s">
        <v>508</v>
      </c>
      <c r="J29" s="153">
        <v>181</v>
      </c>
      <c r="K29" s="154" t="s">
        <v>508</v>
      </c>
    </row>
    <row r="30" spans="1:11" s="142" customFormat="1" ht="12.75" customHeight="1" x14ac:dyDescent="0.25">
      <c r="A30" s="151"/>
      <c r="B30" s="152" t="s">
        <v>4</v>
      </c>
      <c r="C30" s="219"/>
      <c r="D30" s="153">
        <v>573</v>
      </c>
      <c r="E30" s="154" t="s">
        <v>508</v>
      </c>
      <c r="F30" s="153">
        <v>381</v>
      </c>
      <c r="G30" s="154" t="s">
        <v>508</v>
      </c>
      <c r="H30" s="153" t="s">
        <v>207</v>
      </c>
      <c r="I30" s="154" t="s">
        <v>508</v>
      </c>
      <c r="J30" s="153">
        <v>192</v>
      </c>
      <c r="K30" s="154" t="s">
        <v>508</v>
      </c>
    </row>
    <row r="31" spans="1:11" s="142" customFormat="1" ht="12.75" customHeight="1" x14ac:dyDescent="0.25">
      <c r="A31" s="151"/>
      <c r="B31" s="152"/>
      <c r="C31" s="219"/>
      <c r="D31" s="153"/>
      <c r="E31" s="154"/>
      <c r="F31" s="153"/>
      <c r="G31" s="154"/>
      <c r="H31" s="153"/>
      <c r="I31" s="154"/>
      <c r="J31" s="153"/>
      <c r="K31" s="154"/>
    </row>
    <row r="32" spans="1:11" s="142" customFormat="1" ht="12.75" customHeight="1" x14ac:dyDescent="0.25">
      <c r="A32" s="151">
        <v>2010</v>
      </c>
      <c r="B32" s="152" t="s">
        <v>1</v>
      </c>
      <c r="C32" s="219"/>
      <c r="D32" s="153">
        <v>554</v>
      </c>
      <c r="E32" s="154" t="s">
        <v>508</v>
      </c>
      <c r="F32" s="153">
        <v>316</v>
      </c>
      <c r="G32" s="154" t="s">
        <v>508</v>
      </c>
      <c r="H32" s="153" t="s">
        <v>207</v>
      </c>
      <c r="I32" s="154" t="s">
        <v>508</v>
      </c>
      <c r="J32" s="153">
        <v>238</v>
      </c>
      <c r="K32" s="154" t="s">
        <v>508</v>
      </c>
    </row>
    <row r="33" spans="1:11" s="142" customFormat="1" ht="12.75" customHeight="1" x14ac:dyDescent="0.25">
      <c r="A33" s="151"/>
      <c r="B33" s="152" t="s">
        <v>2</v>
      </c>
      <c r="C33" s="219"/>
      <c r="D33" s="153">
        <v>636</v>
      </c>
      <c r="E33" s="154" t="s">
        <v>508</v>
      </c>
      <c r="F33" s="153">
        <v>363</v>
      </c>
      <c r="G33" s="154" t="s">
        <v>508</v>
      </c>
      <c r="H33" s="153" t="s">
        <v>207</v>
      </c>
      <c r="I33" s="154" t="s">
        <v>508</v>
      </c>
      <c r="J33" s="153">
        <v>273</v>
      </c>
      <c r="K33" s="154" t="s">
        <v>508</v>
      </c>
    </row>
    <row r="34" spans="1:11" s="142" customFormat="1" ht="12.75" customHeight="1" x14ac:dyDescent="0.25">
      <c r="A34" s="151"/>
      <c r="B34" s="152" t="s">
        <v>3</v>
      </c>
      <c r="C34" s="219"/>
      <c r="D34" s="153">
        <v>551</v>
      </c>
      <c r="E34" s="154" t="s">
        <v>508</v>
      </c>
      <c r="F34" s="153">
        <v>290</v>
      </c>
      <c r="G34" s="154" t="s">
        <v>508</v>
      </c>
      <c r="H34" s="153" t="s">
        <v>207</v>
      </c>
      <c r="I34" s="154" t="s">
        <v>508</v>
      </c>
      <c r="J34" s="153">
        <v>261</v>
      </c>
      <c r="K34" s="154" t="s">
        <v>508</v>
      </c>
    </row>
    <row r="35" spans="1:11" s="142" customFormat="1" ht="12.75" customHeight="1" x14ac:dyDescent="0.25">
      <c r="A35" s="151"/>
      <c r="B35" s="152" t="s">
        <v>4</v>
      </c>
      <c r="C35" s="219"/>
      <c r="D35" s="153">
        <v>582</v>
      </c>
      <c r="E35" s="154" t="s">
        <v>508</v>
      </c>
      <c r="F35" s="153">
        <v>352</v>
      </c>
      <c r="G35" s="154" t="s">
        <v>508</v>
      </c>
      <c r="H35" s="153" t="s">
        <v>207</v>
      </c>
      <c r="I35" s="154" t="s">
        <v>508</v>
      </c>
      <c r="J35" s="153">
        <v>230</v>
      </c>
      <c r="K35" s="154" t="s">
        <v>508</v>
      </c>
    </row>
    <row r="36" spans="1:11" s="142" customFormat="1" ht="12.75" customHeight="1" x14ac:dyDescent="0.25">
      <c r="A36" s="151"/>
      <c r="B36" s="152"/>
      <c r="C36" s="219"/>
      <c r="D36" s="153"/>
      <c r="E36" s="154"/>
      <c r="F36" s="153"/>
      <c r="G36" s="154"/>
      <c r="H36" s="153"/>
      <c r="I36" s="154"/>
      <c r="J36" s="153"/>
      <c r="K36" s="154"/>
    </row>
    <row r="37" spans="1:11" s="142" customFormat="1" ht="12.75" customHeight="1" x14ac:dyDescent="0.25">
      <c r="A37" s="151">
        <v>2011</v>
      </c>
      <c r="B37" s="152" t="s">
        <v>1</v>
      </c>
      <c r="C37" s="219"/>
      <c r="D37" s="153">
        <v>692</v>
      </c>
      <c r="E37" s="154" t="s">
        <v>508</v>
      </c>
      <c r="F37" s="153">
        <v>451</v>
      </c>
      <c r="G37" s="154" t="s">
        <v>508</v>
      </c>
      <c r="H37" s="153" t="s">
        <v>207</v>
      </c>
      <c r="I37" s="154" t="s">
        <v>508</v>
      </c>
      <c r="J37" s="153">
        <v>241</v>
      </c>
      <c r="K37" s="154" t="s">
        <v>508</v>
      </c>
    </row>
    <row r="38" spans="1:11" s="142" customFormat="1" ht="12.75" customHeight="1" x14ac:dyDescent="0.25">
      <c r="A38" s="151"/>
      <c r="B38" s="152" t="s">
        <v>2</v>
      </c>
      <c r="C38" s="219"/>
      <c r="D38" s="153">
        <v>752</v>
      </c>
      <c r="E38" s="154" t="s">
        <v>508</v>
      </c>
      <c r="F38" s="153">
        <v>451</v>
      </c>
      <c r="G38" s="154" t="s">
        <v>508</v>
      </c>
      <c r="H38" s="153" t="s">
        <v>207</v>
      </c>
      <c r="I38" s="154" t="s">
        <v>508</v>
      </c>
      <c r="J38" s="153">
        <v>301</v>
      </c>
      <c r="K38" s="154" t="s">
        <v>508</v>
      </c>
    </row>
    <row r="39" spans="1:11" s="142" customFormat="1" ht="12.75" customHeight="1" x14ac:dyDescent="0.25">
      <c r="A39" s="151"/>
      <c r="B39" s="152" t="s">
        <v>3</v>
      </c>
      <c r="C39" s="219"/>
      <c r="D39" s="153">
        <v>608</v>
      </c>
      <c r="E39" s="154" t="s">
        <v>508</v>
      </c>
      <c r="F39" s="153">
        <v>301</v>
      </c>
      <c r="G39" s="154" t="s">
        <v>508</v>
      </c>
      <c r="H39" s="153">
        <v>34</v>
      </c>
      <c r="I39" s="154" t="s">
        <v>508</v>
      </c>
      <c r="J39" s="153">
        <v>273</v>
      </c>
      <c r="K39" s="154" t="s">
        <v>508</v>
      </c>
    </row>
    <row r="40" spans="1:11" s="142" customFormat="1" ht="12.75" customHeight="1" x14ac:dyDescent="0.25">
      <c r="A40" s="151"/>
      <c r="B40" s="152" t="s">
        <v>4</v>
      </c>
      <c r="C40" s="219"/>
      <c r="D40" s="153">
        <v>787</v>
      </c>
      <c r="E40" s="154" t="s">
        <v>508</v>
      </c>
      <c r="F40" s="153">
        <v>412</v>
      </c>
      <c r="G40" s="154" t="s">
        <v>508</v>
      </c>
      <c r="H40" s="153">
        <v>78</v>
      </c>
      <c r="I40" s="154" t="s">
        <v>508</v>
      </c>
      <c r="J40" s="153">
        <v>297</v>
      </c>
      <c r="K40" s="154" t="s">
        <v>508</v>
      </c>
    </row>
    <row r="41" spans="1:11" s="142" customFormat="1" ht="12.75" customHeight="1" x14ac:dyDescent="0.25">
      <c r="A41" s="151"/>
      <c r="B41" s="152"/>
      <c r="C41" s="219"/>
      <c r="D41" s="153"/>
      <c r="E41" s="154"/>
      <c r="F41" s="153"/>
      <c r="G41" s="154"/>
      <c r="H41" s="153"/>
      <c r="I41" s="154"/>
      <c r="J41" s="153"/>
      <c r="K41" s="154"/>
    </row>
    <row r="42" spans="1:11" s="142" customFormat="1" ht="12.75" customHeight="1" x14ac:dyDescent="0.25">
      <c r="A42" s="151">
        <v>2012</v>
      </c>
      <c r="B42" s="152" t="s">
        <v>1</v>
      </c>
      <c r="C42" s="219"/>
      <c r="D42" s="153">
        <v>794</v>
      </c>
      <c r="E42" s="154" t="s">
        <v>508</v>
      </c>
      <c r="F42" s="153">
        <v>405</v>
      </c>
      <c r="G42" s="154" t="s">
        <v>508</v>
      </c>
      <c r="H42" s="153">
        <v>113</v>
      </c>
      <c r="I42" s="154" t="s">
        <v>508</v>
      </c>
      <c r="J42" s="153">
        <v>276</v>
      </c>
      <c r="K42" s="154" t="s">
        <v>508</v>
      </c>
    </row>
    <row r="43" spans="1:11" s="142" customFormat="1" ht="12.75" customHeight="1" x14ac:dyDescent="0.25">
      <c r="A43" s="151"/>
      <c r="B43" s="152" t="s">
        <v>2</v>
      </c>
      <c r="C43" s="219"/>
      <c r="D43" s="153">
        <v>795</v>
      </c>
      <c r="E43" s="154" t="s">
        <v>508</v>
      </c>
      <c r="F43" s="153">
        <v>381</v>
      </c>
      <c r="G43" s="154" t="s">
        <v>508</v>
      </c>
      <c r="H43" s="153">
        <v>132</v>
      </c>
      <c r="I43" s="154" t="s">
        <v>508</v>
      </c>
      <c r="J43" s="153">
        <v>282</v>
      </c>
      <c r="K43" s="154" t="s">
        <v>508</v>
      </c>
    </row>
    <row r="44" spans="1:11" s="142" customFormat="1" ht="12.75" customHeight="1" x14ac:dyDescent="0.25">
      <c r="A44" s="151"/>
      <c r="B44" s="152" t="s">
        <v>3</v>
      </c>
      <c r="C44" s="219"/>
      <c r="D44" s="153">
        <v>844</v>
      </c>
      <c r="E44" s="154" t="s">
        <v>508</v>
      </c>
      <c r="F44" s="153">
        <v>307</v>
      </c>
      <c r="G44" s="154" t="s">
        <v>508</v>
      </c>
      <c r="H44" s="153">
        <v>144</v>
      </c>
      <c r="I44" s="154" t="s">
        <v>508</v>
      </c>
      <c r="J44" s="153">
        <v>393</v>
      </c>
      <c r="K44" s="154" t="s">
        <v>508</v>
      </c>
    </row>
    <row r="45" spans="1:11" s="142" customFormat="1" ht="12.75" customHeight="1" x14ac:dyDescent="0.25">
      <c r="A45" s="151"/>
      <c r="B45" s="152" t="s">
        <v>4</v>
      </c>
      <c r="C45" s="219"/>
      <c r="D45" s="153">
        <v>756</v>
      </c>
      <c r="E45" s="154" t="s">
        <v>508</v>
      </c>
      <c r="F45" s="153">
        <v>359</v>
      </c>
      <c r="G45" s="154" t="s">
        <v>508</v>
      </c>
      <c r="H45" s="153">
        <v>117</v>
      </c>
      <c r="I45" s="154" t="s">
        <v>508</v>
      </c>
      <c r="J45" s="153">
        <v>280</v>
      </c>
      <c r="K45" s="154" t="s">
        <v>508</v>
      </c>
    </row>
    <row r="46" spans="1:11" s="142" customFormat="1" ht="12.75" customHeight="1" x14ac:dyDescent="0.25">
      <c r="A46" s="151"/>
      <c r="B46" s="152"/>
      <c r="C46" s="219"/>
      <c r="D46" s="153"/>
      <c r="E46" s="154"/>
      <c r="F46" s="153"/>
      <c r="G46" s="154"/>
      <c r="H46" s="153"/>
      <c r="I46" s="154"/>
      <c r="J46" s="153"/>
      <c r="K46" s="154"/>
    </row>
    <row r="47" spans="1:11" s="142" customFormat="1" ht="12.75" customHeight="1" x14ac:dyDescent="0.25">
      <c r="A47" s="151">
        <v>2013</v>
      </c>
      <c r="B47" s="152" t="s">
        <v>1</v>
      </c>
      <c r="C47" s="219"/>
      <c r="D47" s="153">
        <v>836</v>
      </c>
      <c r="E47" s="154" t="s">
        <v>508</v>
      </c>
      <c r="F47" s="153">
        <v>328</v>
      </c>
      <c r="G47" s="154" t="s">
        <v>508</v>
      </c>
      <c r="H47" s="153">
        <v>119</v>
      </c>
      <c r="I47" s="154" t="s">
        <v>508</v>
      </c>
      <c r="J47" s="153">
        <v>389</v>
      </c>
      <c r="K47" s="154" t="s">
        <v>508</v>
      </c>
    </row>
    <row r="48" spans="1:11" s="142" customFormat="1" ht="12.75" customHeight="1" x14ac:dyDescent="0.25">
      <c r="A48" s="151"/>
      <c r="B48" s="152" t="s">
        <v>2</v>
      </c>
      <c r="C48" s="219"/>
      <c r="D48" s="153">
        <v>894</v>
      </c>
      <c r="E48" s="154" t="s">
        <v>508</v>
      </c>
      <c r="F48" s="153">
        <v>374</v>
      </c>
      <c r="G48" s="154" t="s">
        <v>508</v>
      </c>
      <c r="H48" s="153">
        <v>167</v>
      </c>
      <c r="I48" s="154" t="s">
        <v>508</v>
      </c>
      <c r="J48" s="153">
        <v>353</v>
      </c>
      <c r="K48" s="154" t="s">
        <v>508</v>
      </c>
    </row>
    <row r="49" spans="1:11" s="142" customFormat="1" ht="12.75" customHeight="1" x14ac:dyDescent="0.25">
      <c r="A49" s="151"/>
      <c r="B49" s="152" t="s">
        <v>3</v>
      </c>
      <c r="C49" s="219"/>
      <c r="D49" s="153">
        <v>717</v>
      </c>
      <c r="E49" s="154" t="s">
        <v>508</v>
      </c>
      <c r="F49" s="153">
        <v>252</v>
      </c>
      <c r="G49" s="154" t="s">
        <v>508</v>
      </c>
      <c r="H49" s="153">
        <v>139</v>
      </c>
      <c r="I49" s="154" t="s">
        <v>508</v>
      </c>
      <c r="J49" s="153">
        <v>326</v>
      </c>
      <c r="K49" s="154" t="s">
        <v>508</v>
      </c>
    </row>
    <row r="50" spans="1:11" s="142" customFormat="1" ht="12.75" customHeight="1" x14ac:dyDescent="0.25">
      <c r="A50" s="151"/>
      <c r="B50" s="152" t="s">
        <v>4</v>
      </c>
      <c r="C50" s="219"/>
      <c r="D50" s="153">
        <v>926</v>
      </c>
      <c r="E50" s="154" t="s">
        <v>508</v>
      </c>
      <c r="F50" s="153">
        <v>393</v>
      </c>
      <c r="G50" s="154" t="s">
        <v>508</v>
      </c>
      <c r="H50" s="153">
        <v>168</v>
      </c>
      <c r="I50" s="154" t="s">
        <v>508</v>
      </c>
      <c r="J50" s="153">
        <v>365</v>
      </c>
      <c r="K50" s="154" t="s">
        <v>508</v>
      </c>
    </row>
    <row r="51" spans="1:11" s="142" customFormat="1" ht="12.75" customHeight="1" x14ac:dyDescent="0.25">
      <c r="A51" s="151"/>
      <c r="B51" s="152"/>
      <c r="C51" s="219"/>
      <c r="D51" s="153"/>
      <c r="E51" s="154"/>
      <c r="F51" s="153"/>
      <c r="G51" s="154"/>
      <c r="H51" s="153"/>
      <c r="I51" s="154"/>
      <c r="J51" s="153"/>
      <c r="K51" s="154"/>
    </row>
    <row r="52" spans="1:11" s="142" customFormat="1" ht="12.75" customHeight="1" x14ac:dyDescent="0.25">
      <c r="A52" s="151">
        <v>2014</v>
      </c>
      <c r="B52" s="152" t="s">
        <v>1</v>
      </c>
      <c r="C52" s="219"/>
      <c r="D52" s="153">
        <v>840</v>
      </c>
      <c r="E52" s="154" t="s">
        <v>508</v>
      </c>
      <c r="F52" s="153">
        <v>351</v>
      </c>
      <c r="G52" s="154" t="s">
        <v>508</v>
      </c>
      <c r="H52" s="153">
        <v>142</v>
      </c>
      <c r="I52" s="154" t="s">
        <v>508</v>
      </c>
      <c r="J52" s="153">
        <v>347</v>
      </c>
      <c r="K52" s="154" t="s">
        <v>508</v>
      </c>
    </row>
    <row r="53" spans="1:11" s="142" customFormat="1" ht="12.75" customHeight="1" x14ac:dyDescent="0.25">
      <c r="A53" s="151"/>
      <c r="B53" s="152" t="s">
        <v>2</v>
      </c>
      <c r="C53" s="219"/>
      <c r="D53" s="153">
        <v>769</v>
      </c>
      <c r="E53" s="154" t="s">
        <v>508</v>
      </c>
      <c r="F53" s="153">
        <v>379</v>
      </c>
      <c r="G53" s="154" t="s">
        <v>508</v>
      </c>
      <c r="H53" s="153">
        <v>155</v>
      </c>
      <c r="I53" s="154" t="s">
        <v>508</v>
      </c>
      <c r="J53" s="153">
        <v>235</v>
      </c>
      <c r="K53" s="154" t="s">
        <v>508</v>
      </c>
    </row>
    <row r="54" spans="1:11" s="142" customFormat="1" ht="12.75" customHeight="1" x14ac:dyDescent="0.25">
      <c r="A54" s="151"/>
      <c r="B54" s="152" t="s">
        <v>3</v>
      </c>
      <c r="C54" s="219"/>
      <c r="D54" s="153">
        <v>975</v>
      </c>
      <c r="E54" s="154" t="s">
        <v>508</v>
      </c>
      <c r="F54" s="153">
        <v>303</v>
      </c>
      <c r="G54" s="154" t="s">
        <v>508</v>
      </c>
      <c r="H54" s="153">
        <v>123</v>
      </c>
      <c r="I54" s="154" t="s">
        <v>508</v>
      </c>
      <c r="J54" s="153">
        <v>549</v>
      </c>
      <c r="K54" s="154" t="s">
        <v>508</v>
      </c>
    </row>
    <row r="55" spans="1:11" s="142" customFormat="1" ht="12.75" customHeight="1" x14ac:dyDescent="0.25">
      <c r="A55" s="151"/>
      <c r="B55" s="152" t="s">
        <v>4</v>
      </c>
      <c r="C55" s="219"/>
      <c r="D55" s="153">
        <v>811</v>
      </c>
      <c r="E55" s="154" t="s">
        <v>508</v>
      </c>
      <c r="F55" s="153">
        <v>334</v>
      </c>
      <c r="G55" s="154" t="s">
        <v>508</v>
      </c>
      <c r="H55" s="153">
        <v>116</v>
      </c>
      <c r="I55" s="154" t="s">
        <v>508</v>
      </c>
      <c r="J55" s="153">
        <v>361</v>
      </c>
      <c r="K55" s="154" t="s">
        <v>508</v>
      </c>
    </row>
    <row r="56" spans="1:11" s="142" customFormat="1" ht="12.75" customHeight="1" x14ac:dyDescent="0.25">
      <c r="A56" s="151"/>
      <c r="B56" s="152"/>
      <c r="C56" s="219"/>
      <c r="D56" s="153"/>
      <c r="E56" s="154"/>
      <c r="F56" s="153"/>
      <c r="G56" s="154"/>
      <c r="H56" s="153"/>
      <c r="I56" s="154"/>
      <c r="J56" s="153"/>
      <c r="K56" s="154"/>
    </row>
    <row r="57" spans="1:11" s="142" customFormat="1" ht="12.75" customHeight="1" x14ac:dyDescent="0.25">
      <c r="A57" s="151">
        <v>2015</v>
      </c>
      <c r="B57" s="152" t="s">
        <v>1</v>
      </c>
      <c r="C57" s="219"/>
      <c r="D57" s="153">
        <v>777</v>
      </c>
      <c r="E57" s="154" t="s">
        <v>508</v>
      </c>
      <c r="F57" s="153">
        <v>342</v>
      </c>
      <c r="G57" s="154" t="s">
        <v>508</v>
      </c>
      <c r="H57" s="153">
        <v>136</v>
      </c>
      <c r="I57" s="154" t="s">
        <v>508</v>
      </c>
      <c r="J57" s="153">
        <v>299</v>
      </c>
      <c r="K57" s="154" t="s">
        <v>508</v>
      </c>
    </row>
    <row r="58" spans="1:11" s="142" customFormat="1" ht="12.75" customHeight="1" x14ac:dyDescent="0.25">
      <c r="A58" s="151"/>
      <c r="B58" s="152" t="s">
        <v>2</v>
      </c>
      <c r="C58" s="219"/>
      <c r="D58" s="153">
        <v>696</v>
      </c>
      <c r="E58" s="154" t="s">
        <v>508</v>
      </c>
      <c r="F58" s="153">
        <v>304</v>
      </c>
      <c r="G58" s="154" t="s">
        <v>508</v>
      </c>
      <c r="H58" s="153">
        <v>119</v>
      </c>
      <c r="I58" s="154" t="s">
        <v>508</v>
      </c>
      <c r="J58" s="153">
        <v>273</v>
      </c>
      <c r="K58" s="154" t="s">
        <v>508</v>
      </c>
    </row>
    <row r="59" spans="1:11" s="142" customFormat="1" ht="12.75" customHeight="1" x14ac:dyDescent="0.25">
      <c r="A59" s="151"/>
      <c r="B59" s="152" t="s">
        <v>3</v>
      </c>
      <c r="C59" s="219"/>
      <c r="D59" s="153">
        <v>611</v>
      </c>
      <c r="E59" s="154" t="s">
        <v>508</v>
      </c>
      <c r="F59" s="153">
        <v>199</v>
      </c>
      <c r="G59" s="154" t="s">
        <v>508</v>
      </c>
      <c r="H59" s="153">
        <v>111</v>
      </c>
      <c r="I59" s="154" t="s">
        <v>508</v>
      </c>
      <c r="J59" s="153">
        <v>301</v>
      </c>
      <c r="K59" s="154" t="s">
        <v>508</v>
      </c>
    </row>
    <row r="60" spans="1:11" s="142" customFormat="1" ht="12.75" customHeight="1" x14ac:dyDescent="0.25">
      <c r="A60" s="151"/>
      <c r="B60" s="152" t="s">
        <v>4</v>
      </c>
      <c r="C60" s="219"/>
      <c r="D60" s="153">
        <v>606</v>
      </c>
      <c r="E60" s="154" t="s">
        <v>508</v>
      </c>
      <c r="F60" s="153">
        <v>226</v>
      </c>
      <c r="G60" s="154" t="s">
        <v>508</v>
      </c>
      <c r="H60" s="153">
        <v>106</v>
      </c>
      <c r="I60" s="154" t="s">
        <v>508</v>
      </c>
      <c r="J60" s="153">
        <v>274</v>
      </c>
      <c r="K60" s="154" t="s">
        <v>508</v>
      </c>
    </row>
    <row r="61" spans="1:11" s="142" customFormat="1" ht="12.75" customHeight="1" x14ac:dyDescent="0.25">
      <c r="A61" s="151"/>
      <c r="B61" s="152"/>
      <c r="C61" s="219"/>
      <c r="D61" s="153"/>
      <c r="E61" s="154"/>
      <c r="F61" s="153"/>
      <c r="G61" s="154"/>
      <c r="H61" s="153"/>
      <c r="I61" s="154"/>
      <c r="J61" s="153"/>
      <c r="K61" s="154"/>
    </row>
    <row r="62" spans="1:11" s="142" customFormat="1" ht="12.75" customHeight="1" x14ac:dyDescent="0.25">
      <c r="A62" s="151">
        <v>2016</v>
      </c>
      <c r="B62" s="152" t="s">
        <v>1</v>
      </c>
      <c r="C62" s="219"/>
      <c r="D62" s="153">
        <v>666</v>
      </c>
      <c r="E62" s="154" t="s">
        <v>508</v>
      </c>
      <c r="F62" s="153">
        <v>236</v>
      </c>
      <c r="G62" s="154" t="s">
        <v>508</v>
      </c>
      <c r="H62" s="153">
        <v>106</v>
      </c>
      <c r="I62" s="154" t="s">
        <v>508</v>
      </c>
      <c r="J62" s="153">
        <v>324</v>
      </c>
      <c r="K62" s="154" t="s">
        <v>508</v>
      </c>
    </row>
    <row r="63" spans="1:11" s="142" customFormat="1" ht="12.75" customHeight="1" x14ac:dyDescent="0.25">
      <c r="A63" s="151"/>
      <c r="B63" s="152" t="s">
        <v>2</v>
      </c>
      <c r="C63" s="219"/>
      <c r="D63" s="153">
        <v>752</v>
      </c>
      <c r="E63" s="154" t="s">
        <v>508</v>
      </c>
      <c r="F63" s="153">
        <v>299</v>
      </c>
      <c r="G63" s="154" t="s">
        <v>508</v>
      </c>
      <c r="H63" s="153">
        <v>61</v>
      </c>
      <c r="I63" s="154" t="s">
        <v>508</v>
      </c>
      <c r="J63" s="153">
        <v>392</v>
      </c>
      <c r="K63" s="154" t="s">
        <v>508</v>
      </c>
    </row>
    <row r="64" spans="1:11" s="142" customFormat="1" ht="12.75" customHeight="1" x14ac:dyDescent="0.25">
      <c r="A64" s="151"/>
      <c r="B64" s="152" t="s">
        <v>3</v>
      </c>
      <c r="C64" s="219"/>
      <c r="D64" s="153">
        <v>547</v>
      </c>
      <c r="E64" s="154" t="s">
        <v>508</v>
      </c>
      <c r="F64" s="153">
        <v>203</v>
      </c>
      <c r="G64" s="154" t="s">
        <v>508</v>
      </c>
      <c r="H64" s="153">
        <v>101</v>
      </c>
      <c r="I64" s="154" t="s">
        <v>508</v>
      </c>
      <c r="J64" s="153">
        <v>243</v>
      </c>
      <c r="K64" s="154" t="s">
        <v>508</v>
      </c>
    </row>
    <row r="65" spans="1:27" s="142" customFormat="1" ht="12.75" customHeight="1" x14ac:dyDescent="0.25">
      <c r="A65" s="152"/>
      <c r="B65" s="152" t="s">
        <v>4</v>
      </c>
      <c r="C65" s="219" t="s">
        <v>197</v>
      </c>
      <c r="D65" s="153">
        <v>617</v>
      </c>
      <c r="E65" s="154" t="s">
        <v>508</v>
      </c>
      <c r="F65" s="153">
        <v>259</v>
      </c>
      <c r="G65" s="154" t="s">
        <v>508</v>
      </c>
      <c r="H65" s="153">
        <v>98</v>
      </c>
      <c r="I65" s="154" t="s">
        <v>508</v>
      </c>
      <c r="J65" s="153">
        <v>260</v>
      </c>
      <c r="K65" s="154" t="s">
        <v>508</v>
      </c>
    </row>
    <row r="66" spans="1:27" s="142" customFormat="1" ht="12.75" customHeight="1" x14ac:dyDescent="0.25">
      <c r="A66" s="151"/>
      <c r="B66" s="152"/>
      <c r="C66" s="219"/>
      <c r="D66" s="153"/>
      <c r="E66" s="154"/>
      <c r="F66" s="153"/>
      <c r="G66" s="154"/>
      <c r="H66" s="153"/>
      <c r="I66" s="154"/>
      <c r="J66" s="153"/>
      <c r="K66" s="154"/>
    </row>
    <row r="67" spans="1:27" s="142" customFormat="1" ht="12.75" customHeight="1" x14ac:dyDescent="0.25">
      <c r="A67" s="151">
        <v>2017</v>
      </c>
      <c r="B67" s="152" t="s">
        <v>1</v>
      </c>
      <c r="C67" s="219" t="s">
        <v>415</v>
      </c>
      <c r="D67" s="153">
        <v>712</v>
      </c>
      <c r="E67" s="154" t="s">
        <v>508</v>
      </c>
      <c r="F67" s="153">
        <v>197</v>
      </c>
      <c r="G67" s="154" t="s">
        <v>508</v>
      </c>
      <c r="H67" s="153">
        <v>130</v>
      </c>
      <c r="I67" s="154" t="s">
        <v>508</v>
      </c>
      <c r="J67" s="153">
        <v>385</v>
      </c>
      <c r="K67" s="154" t="s">
        <v>508</v>
      </c>
      <c r="AA67" s="142" t="s">
        <v>508</v>
      </c>
    </row>
    <row r="68" spans="1:27" s="142" customFormat="1" ht="12.75" customHeight="1" thickBot="1" x14ac:dyDescent="0.3">
      <c r="A68" s="152"/>
      <c r="B68" s="156"/>
      <c r="C68" s="220"/>
      <c r="D68" s="153"/>
      <c r="E68" s="154"/>
      <c r="F68" s="153"/>
      <c r="G68" s="154"/>
      <c r="H68" s="153"/>
      <c r="I68" s="154"/>
      <c r="J68" s="153"/>
      <c r="K68" s="154"/>
    </row>
    <row r="69" spans="1:27" s="142" customFormat="1" ht="12.75" customHeight="1" x14ac:dyDescent="0.2">
      <c r="A69" s="159" t="s">
        <v>509</v>
      </c>
      <c r="B69" s="159"/>
      <c r="C69" s="221"/>
      <c r="D69" s="159"/>
      <c r="E69" s="221"/>
      <c r="F69" s="159"/>
      <c r="G69" s="221"/>
      <c r="H69" s="159"/>
      <c r="I69" s="221"/>
      <c r="J69" s="159"/>
      <c r="K69" s="221"/>
    </row>
    <row r="70" spans="1:27" s="142" customFormat="1" ht="12.75" customHeight="1" x14ac:dyDescent="0.2">
      <c r="A70" s="160"/>
      <c r="B70" s="160"/>
      <c r="C70" s="161"/>
      <c r="D70" s="160"/>
      <c r="E70" s="161"/>
      <c r="F70" s="160"/>
      <c r="G70" s="161"/>
      <c r="H70" s="160"/>
      <c r="I70" s="161"/>
      <c r="J70" s="160"/>
      <c r="K70" s="161"/>
    </row>
    <row r="71" spans="1:27" s="142" customFormat="1" ht="12.75" hidden="1" customHeight="1" x14ac:dyDescent="0.2">
      <c r="A71" s="162">
        <v>2016</v>
      </c>
      <c r="B71" s="163" t="s">
        <v>4</v>
      </c>
      <c r="C71" s="222"/>
      <c r="D71" s="164" t="s">
        <v>121</v>
      </c>
      <c r="E71" s="161"/>
      <c r="F71" s="164" t="s">
        <v>121</v>
      </c>
      <c r="G71" s="161"/>
      <c r="H71" s="164" t="s">
        <v>121</v>
      </c>
      <c r="I71" s="161"/>
      <c r="J71" s="164" t="s">
        <v>121</v>
      </c>
      <c r="K71" s="161"/>
    </row>
    <row r="72" spans="1:27" s="142" customFormat="1" ht="12.75" hidden="1" customHeight="1" x14ac:dyDescent="0.2">
      <c r="A72" s="165"/>
      <c r="B72" s="166"/>
      <c r="C72" s="223"/>
      <c r="D72" s="167"/>
      <c r="E72" s="281"/>
      <c r="F72" s="167"/>
      <c r="G72" s="281"/>
      <c r="H72" s="167"/>
      <c r="I72" s="281"/>
      <c r="J72" s="167"/>
      <c r="K72" s="281"/>
    </row>
    <row r="73" spans="1:27" s="142" customFormat="1" ht="12.75" customHeight="1" thickBot="1" x14ac:dyDescent="0.25">
      <c r="A73" s="157">
        <v>2016</v>
      </c>
      <c r="B73" s="158" t="s">
        <v>1</v>
      </c>
      <c r="C73" s="224"/>
      <c r="D73" s="168">
        <v>6.9069069069069178</v>
      </c>
      <c r="E73" s="282"/>
      <c r="F73" s="168">
        <v>-16.525423728813561</v>
      </c>
      <c r="G73" s="282"/>
      <c r="H73" s="168">
        <v>22.641509433962259</v>
      </c>
      <c r="I73" s="282"/>
      <c r="J73" s="168">
        <v>18.827160493827154</v>
      </c>
      <c r="K73" s="282"/>
    </row>
    <row r="74" spans="1:27" s="169" customFormat="1" ht="12.75" customHeight="1" x14ac:dyDescent="0.2">
      <c r="A74" s="342"/>
      <c r="B74" s="342"/>
      <c r="C74" s="342"/>
      <c r="D74" s="342"/>
      <c r="E74" s="342"/>
      <c r="F74" s="342"/>
      <c r="G74" s="342"/>
      <c r="H74" s="342"/>
      <c r="I74" s="342"/>
      <c r="J74" s="342"/>
      <c r="K74" s="342"/>
    </row>
    <row r="75" spans="1:27" s="170" customFormat="1" ht="15" x14ac:dyDescent="0.3">
      <c r="A75" s="340" t="s">
        <v>272</v>
      </c>
      <c r="B75" s="340"/>
      <c r="C75" s="340"/>
      <c r="D75" s="340"/>
      <c r="E75" s="340"/>
      <c r="F75" s="340"/>
      <c r="G75" s="340"/>
      <c r="H75" s="340"/>
      <c r="I75" s="340"/>
      <c r="J75" s="340"/>
      <c r="K75" s="340"/>
    </row>
    <row r="76" spans="1:27" s="170" customFormat="1" ht="15" x14ac:dyDescent="0.3">
      <c r="A76" s="340" t="s">
        <v>273</v>
      </c>
      <c r="B76" s="340"/>
      <c r="C76" s="340"/>
      <c r="D76" s="340"/>
      <c r="E76" s="340"/>
      <c r="F76" s="340"/>
      <c r="G76" s="340"/>
      <c r="H76" s="340"/>
      <c r="I76" s="340"/>
      <c r="J76" s="340"/>
      <c r="K76" s="340"/>
    </row>
    <row r="77" spans="1:27" s="171" customFormat="1" ht="15" x14ac:dyDescent="0.3">
      <c r="A77" s="345"/>
      <c r="B77" s="345"/>
      <c r="C77" s="345"/>
      <c r="D77" s="345"/>
      <c r="E77" s="345"/>
      <c r="F77" s="345"/>
      <c r="G77" s="345"/>
      <c r="H77" s="345"/>
      <c r="I77" s="345"/>
      <c r="J77" s="345"/>
      <c r="K77" s="345"/>
    </row>
    <row r="78" spans="1:27" s="171" customFormat="1" ht="27.75" customHeight="1" x14ac:dyDescent="0.3">
      <c r="A78" s="345"/>
      <c r="B78" s="345"/>
      <c r="C78" s="345"/>
      <c r="D78" s="345"/>
      <c r="E78" s="345"/>
      <c r="F78" s="345"/>
      <c r="G78" s="345"/>
      <c r="H78" s="345"/>
      <c r="I78" s="345"/>
      <c r="J78" s="345"/>
      <c r="K78" s="345"/>
    </row>
    <row r="79" spans="1:27" ht="12.75" customHeight="1" x14ac:dyDescent="0.3">
      <c r="A79" s="345"/>
      <c r="B79" s="345"/>
      <c r="C79" s="345"/>
      <c r="D79" s="345"/>
      <c r="E79" s="345"/>
      <c r="F79" s="345"/>
      <c r="G79" s="345"/>
      <c r="H79" s="345"/>
      <c r="I79" s="345"/>
      <c r="J79" s="345"/>
      <c r="K79" s="345"/>
    </row>
    <row r="80" spans="1:27" ht="12.75" customHeight="1" x14ac:dyDescent="0.3">
      <c r="A80" s="345"/>
      <c r="B80" s="345"/>
      <c r="C80" s="345"/>
      <c r="D80" s="345"/>
      <c r="E80" s="345"/>
      <c r="F80" s="345"/>
      <c r="G80" s="345"/>
      <c r="H80" s="345"/>
      <c r="I80" s="345"/>
      <c r="J80" s="345"/>
      <c r="K80" s="345"/>
    </row>
    <row r="81" spans="1:11" ht="12.75" customHeight="1" x14ac:dyDescent="0.3">
      <c r="A81" s="345"/>
      <c r="B81" s="345"/>
      <c r="C81" s="345"/>
      <c r="D81" s="345"/>
      <c r="E81" s="345"/>
      <c r="F81" s="345"/>
      <c r="G81" s="345"/>
      <c r="H81" s="345"/>
      <c r="I81" s="345"/>
      <c r="J81" s="345"/>
      <c r="K81" s="345"/>
    </row>
    <row r="82" spans="1:11" ht="12.75" customHeight="1" x14ac:dyDescent="0.3">
      <c r="A82" s="345"/>
      <c r="B82" s="345"/>
      <c r="C82" s="345"/>
      <c r="D82" s="345"/>
      <c r="E82" s="345"/>
      <c r="F82" s="345"/>
      <c r="G82" s="345"/>
      <c r="H82" s="345"/>
      <c r="I82" s="345"/>
      <c r="J82" s="345"/>
      <c r="K82" s="345"/>
    </row>
    <row r="83" spans="1:11" ht="12.75" customHeight="1" x14ac:dyDescent="0.3">
      <c r="A83" s="345"/>
      <c r="B83" s="345"/>
      <c r="C83" s="345"/>
      <c r="D83" s="345"/>
      <c r="E83" s="345"/>
      <c r="F83" s="345"/>
      <c r="G83" s="345"/>
      <c r="H83" s="345"/>
      <c r="I83" s="345"/>
      <c r="J83" s="345"/>
      <c r="K83" s="345"/>
    </row>
    <row r="84" spans="1:11" ht="12.75" customHeight="1" x14ac:dyDescent="0.3">
      <c r="A84" s="345"/>
      <c r="B84" s="345"/>
      <c r="C84" s="345"/>
      <c r="D84" s="345"/>
      <c r="E84" s="345"/>
      <c r="F84" s="345"/>
      <c r="G84" s="345"/>
      <c r="H84" s="345"/>
      <c r="I84" s="345"/>
      <c r="J84" s="345"/>
      <c r="K84" s="345"/>
    </row>
  </sheetData>
  <dataConsolidate/>
  <mergeCells count="16">
    <mergeCell ref="A81:K81"/>
    <mergeCell ref="A82:K82"/>
    <mergeCell ref="A83:K83"/>
    <mergeCell ref="A84:K84"/>
    <mergeCell ref="A75:K75"/>
    <mergeCell ref="A76:K76"/>
    <mergeCell ref="A77:K77"/>
    <mergeCell ref="A78:K78"/>
    <mergeCell ref="A79:K79"/>
    <mergeCell ref="A80:K80"/>
    <mergeCell ref="A74:K74"/>
    <mergeCell ref="J4:K4"/>
    <mergeCell ref="D5:E5"/>
    <mergeCell ref="F5:G5"/>
    <mergeCell ref="H5:I5"/>
    <mergeCell ref="J5:K5"/>
  </mergeCells>
  <hyperlinks>
    <hyperlink ref="A3" location="'Table Contents'!A1" display="Back to contents"/>
  </hyperlinks>
  <printOptions horizontalCentered="1" verticalCentered="1" gridLinesSet="0"/>
  <pageMargins left="0.19685039370078741" right="0.19685039370078741" top="0.19685039370078741" bottom="0.19685039370078741" header="0.39370078740157483" footer="0.39370078740157483"/>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7:B39"/>
  <sheetViews>
    <sheetView showGridLines="0" zoomScaleNormal="100" workbookViewId="0">
      <selection activeCell="B20" sqref="B20"/>
    </sheetView>
  </sheetViews>
  <sheetFormatPr defaultRowHeight="12.75" x14ac:dyDescent="0.2"/>
  <cols>
    <col min="1" max="1" width="2.7109375" customWidth="1"/>
    <col min="2" max="2" width="68.42578125" bestFit="1" customWidth="1"/>
    <col min="257" max="257" width="2.7109375" customWidth="1"/>
    <col min="258" max="258" width="68.42578125" bestFit="1" customWidth="1"/>
    <col min="513" max="513" width="2.7109375" customWidth="1"/>
    <col min="514" max="514" width="68.42578125" bestFit="1" customWidth="1"/>
    <col min="769" max="769" width="2.7109375" customWidth="1"/>
    <col min="770" max="770" width="68.42578125" bestFit="1" customWidth="1"/>
    <col min="1025" max="1025" width="2.7109375" customWidth="1"/>
    <col min="1026" max="1026" width="68.42578125" bestFit="1" customWidth="1"/>
    <col min="1281" max="1281" width="2.7109375" customWidth="1"/>
    <col min="1282" max="1282" width="68.42578125" bestFit="1" customWidth="1"/>
    <col min="1537" max="1537" width="2.7109375" customWidth="1"/>
    <col min="1538" max="1538" width="68.42578125" bestFit="1" customWidth="1"/>
    <col min="1793" max="1793" width="2.7109375" customWidth="1"/>
    <col min="1794" max="1794" width="68.42578125" bestFit="1" customWidth="1"/>
    <col min="2049" max="2049" width="2.7109375" customWidth="1"/>
    <col min="2050" max="2050" width="68.42578125" bestFit="1" customWidth="1"/>
    <col min="2305" max="2305" width="2.7109375" customWidth="1"/>
    <col min="2306" max="2306" width="68.42578125" bestFit="1" customWidth="1"/>
    <col min="2561" max="2561" width="2.7109375" customWidth="1"/>
    <col min="2562" max="2562" width="68.42578125" bestFit="1" customWidth="1"/>
    <col min="2817" max="2817" width="2.7109375" customWidth="1"/>
    <col min="2818" max="2818" width="68.42578125" bestFit="1" customWidth="1"/>
    <col min="3073" max="3073" width="2.7109375" customWidth="1"/>
    <col min="3074" max="3074" width="68.42578125" bestFit="1" customWidth="1"/>
    <col min="3329" max="3329" width="2.7109375" customWidth="1"/>
    <col min="3330" max="3330" width="68.42578125" bestFit="1" customWidth="1"/>
    <col min="3585" max="3585" width="2.7109375" customWidth="1"/>
    <col min="3586" max="3586" width="68.42578125" bestFit="1" customWidth="1"/>
    <col min="3841" max="3841" width="2.7109375" customWidth="1"/>
    <col min="3842" max="3842" width="68.42578125" bestFit="1" customWidth="1"/>
    <col min="4097" max="4097" width="2.7109375" customWidth="1"/>
    <col min="4098" max="4098" width="68.42578125" bestFit="1" customWidth="1"/>
    <col min="4353" max="4353" width="2.7109375" customWidth="1"/>
    <col min="4354" max="4354" width="68.42578125" bestFit="1" customWidth="1"/>
    <col min="4609" max="4609" width="2.7109375" customWidth="1"/>
    <col min="4610" max="4610" width="68.42578125" bestFit="1" customWidth="1"/>
    <col min="4865" max="4865" width="2.7109375" customWidth="1"/>
    <col min="4866" max="4866" width="68.42578125" bestFit="1" customWidth="1"/>
    <col min="5121" max="5121" width="2.7109375" customWidth="1"/>
    <col min="5122" max="5122" width="68.42578125" bestFit="1" customWidth="1"/>
    <col min="5377" max="5377" width="2.7109375" customWidth="1"/>
    <col min="5378" max="5378" width="68.42578125" bestFit="1" customWidth="1"/>
    <col min="5633" max="5633" width="2.7109375" customWidth="1"/>
    <col min="5634" max="5634" width="68.42578125" bestFit="1" customWidth="1"/>
    <col min="5889" max="5889" width="2.7109375" customWidth="1"/>
    <col min="5890" max="5890" width="68.42578125" bestFit="1" customWidth="1"/>
    <col min="6145" max="6145" width="2.7109375" customWidth="1"/>
    <col min="6146" max="6146" width="68.42578125" bestFit="1" customWidth="1"/>
    <col min="6401" max="6401" width="2.7109375" customWidth="1"/>
    <col min="6402" max="6402" width="68.42578125" bestFit="1" customWidth="1"/>
    <col min="6657" max="6657" width="2.7109375" customWidth="1"/>
    <col min="6658" max="6658" width="68.42578125" bestFit="1" customWidth="1"/>
    <col min="6913" max="6913" width="2.7109375" customWidth="1"/>
    <col min="6914" max="6914" width="68.42578125" bestFit="1" customWidth="1"/>
    <col min="7169" max="7169" width="2.7109375" customWidth="1"/>
    <col min="7170" max="7170" width="68.42578125" bestFit="1" customWidth="1"/>
    <col min="7425" max="7425" width="2.7109375" customWidth="1"/>
    <col min="7426" max="7426" width="68.42578125" bestFit="1" customWidth="1"/>
    <col min="7681" max="7681" width="2.7109375" customWidth="1"/>
    <col min="7682" max="7682" width="68.42578125" bestFit="1" customWidth="1"/>
    <col min="7937" max="7937" width="2.7109375" customWidth="1"/>
    <col min="7938" max="7938" width="68.42578125" bestFit="1" customWidth="1"/>
    <col min="8193" max="8193" width="2.7109375" customWidth="1"/>
    <col min="8194" max="8194" width="68.42578125" bestFit="1" customWidth="1"/>
    <col min="8449" max="8449" width="2.7109375" customWidth="1"/>
    <col min="8450" max="8450" width="68.42578125" bestFit="1" customWidth="1"/>
    <col min="8705" max="8705" width="2.7109375" customWidth="1"/>
    <col min="8706" max="8706" width="68.42578125" bestFit="1" customWidth="1"/>
    <col min="8961" max="8961" width="2.7109375" customWidth="1"/>
    <col min="8962" max="8962" width="68.42578125" bestFit="1" customWidth="1"/>
    <col min="9217" max="9217" width="2.7109375" customWidth="1"/>
    <col min="9218" max="9218" width="68.42578125" bestFit="1" customWidth="1"/>
    <col min="9473" max="9473" width="2.7109375" customWidth="1"/>
    <col min="9474" max="9474" width="68.42578125" bestFit="1" customWidth="1"/>
    <col min="9729" max="9729" width="2.7109375" customWidth="1"/>
    <col min="9730" max="9730" width="68.42578125" bestFit="1" customWidth="1"/>
    <col min="9985" max="9985" width="2.7109375" customWidth="1"/>
    <col min="9986" max="9986" width="68.42578125" bestFit="1" customWidth="1"/>
    <col min="10241" max="10241" width="2.7109375" customWidth="1"/>
    <col min="10242" max="10242" width="68.42578125" bestFit="1" customWidth="1"/>
    <col min="10497" max="10497" width="2.7109375" customWidth="1"/>
    <col min="10498" max="10498" width="68.42578125" bestFit="1" customWidth="1"/>
    <col min="10753" max="10753" width="2.7109375" customWidth="1"/>
    <col min="10754" max="10754" width="68.42578125" bestFit="1" customWidth="1"/>
    <col min="11009" max="11009" width="2.7109375" customWidth="1"/>
    <col min="11010" max="11010" width="68.42578125" bestFit="1" customWidth="1"/>
    <col min="11265" max="11265" width="2.7109375" customWidth="1"/>
    <col min="11266" max="11266" width="68.42578125" bestFit="1" customWidth="1"/>
    <col min="11521" max="11521" width="2.7109375" customWidth="1"/>
    <col min="11522" max="11522" width="68.42578125" bestFit="1" customWidth="1"/>
    <col min="11777" max="11777" width="2.7109375" customWidth="1"/>
    <col min="11778" max="11778" width="68.42578125" bestFit="1" customWidth="1"/>
    <col min="12033" max="12033" width="2.7109375" customWidth="1"/>
    <col min="12034" max="12034" width="68.42578125" bestFit="1" customWidth="1"/>
    <col min="12289" max="12289" width="2.7109375" customWidth="1"/>
    <col min="12290" max="12290" width="68.42578125" bestFit="1" customWidth="1"/>
    <col min="12545" max="12545" width="2.7109375" customWidth="1"/>
    <col min="12546" max="12546" width="68.42578125" bestFit="1" customWidth="1"/>
    <col min="12801" max="12801" width="2.7109375" customWidth="1"/>
    <col min="12802" max="12802" width="68.42578125" bestFit="1" customWidth="1"/>
    <col min="13057" max="13057" width="2.7109375" customWidth="1"/>
    <col min="13058" max="13058" width="68.42578125" bestFit="1" customWidth="1"/>
    <col min="13313" max="13313" width="2.7109375" customWidth="1"/>
    <col min="13314" max="13314" width="68.42578125" bestFit="1" customWidth="1"/>
    <col min="13569" max="13569" width="2.7109375" customWidth="1"/>
    <col min="13570" max="13570" width="68.42578125" bestFit="1" customWidth="1"/>
    <col min="13825" max="13825" width="2.7109375" customWidth="1"/>
    <col min="13826" max="13826" width="68.42578125" bestFit="1" customWidth="1"/>
    <col min="14081" max="14081" width="2.7109375" customWidth="1"/>
    <col min="14082" max="14082" width="68.42578125" bestFit="1" customWidth="1"/>
    <col min="14337" max="14337" width="2.7109375" customWidth="1"/>
    <col min="14338" max="14338" width="68.42578125" bestFit="1" customWidth="1"/>
    <col min="14593" max="14593" width="2.7109375" customWidth="1"/>
    <col min="14594" max="14594" width="68.42578125" bestFit="1" customWidth="1"/>
    <col min="14849" max="14849" width="2.7109375" customWidth="1"/>
    <col min="14850" max="14850" width="68.42578125" bestFit="1" customWidth="1"/>
    <col min="15105" max="15105" width="2.7109375" customWidth="1"/>
    <col min="15106" max="15106" width="68.42578125" bestFit="1" customWidth="1"/>
    <col min="15361" max="15361" width="2.7109375" customWidth="1"/>
    <col min="15362" max="15362" width="68.42578125" bestFit="1" customWidth="1"/>
    <col min="15617" max="15617" width="2.7109375" customWidth="1"/>
    <col min="15618" max="15618" width="68.42578125" bestFit="1" customWidth="1"/>
    <col min="15873" max="15873" width="2.7109375" customWidth="1"/>
    <col min="15874" max="15874" width="68.42578125" bestFit="1" customWidth="1"/>
    <col min="16129" max="16129" width="2.7109375" customWidth="1"/>
    <col min="16130" max="16130" width="68.42578125" bestFit="1" customWidth="1"/>
  </cols>
  <sheetData>
    <row r="7" spans="1:2" ht="44.25" x14ac:dyDescent="0.55000000000000004">
      <c r="A7" s="175"/>
      <c r="B7" s="176" t="s">
        <v>506</v>
      </c>
    </row>
    <row r="10" spans="1:2" x14ac:dyDescent="0.2">
      <c r="B10" s="177" t="s">
        <v>142</v>
      </c>
    </row>
    <row r="11" spans="1:2" x14ac:dyDescent="0.2">
      <c r="B11" s="178" t="s">
        <v>20</v>
      </c>
    </row>
    <row r="12" spans="1:2" x14ac:dyDescent="0.2">
      <c r="B12" s="178" t="s">
        <v>19</v>
      </c>
    </row>
    <row r="13" spans="1:2" x14ac:dyDescent="0.2">
      <c r="B13" s="178" t="s">
        <v>21</v>
      </c>
    </row>
    <row r="14" spans="1:2" s="179" customFormat="1" ht="18" x14ac:dyDescent="0.25">
      <c r="B14" s="180"/>
    </row>
    <row r="15" spans="1:2" s="179" customFormat="1" x14ac:dyDescent="0.2">
      <c r="B15" s="316" t="s">
        <v>143</v>
      </c>
    </row>
    <row r="16" spans="1:2" s="179" customFormat="1" x14ac:dyDescent="0.2">
      <c r="B16" s="317">
        <v>42853</v>
      </c>
    </row>
    <row r="17" spans="1:2" s="179" customFormat="1" x14ac:dyDescent="0.2">
      <c r="B17" s="317"/>
    </row>
    <row r="18" spans="1:2" s="179" customFormat="1" x14ac:dyDescent="0.2">
      <c r="B18" s="316" t="s">
        <v>144</v>
      </c>
    </row>
    <row r="19" spans="1:2" s="179" customFormat="1" x14ac:dyDescent="0.2">
      <c r="B19" s="317" t="s">
        <v>196</v>
      </c>
    </row>
    <row r="20" spans="1:2" s="179" customFormat="1" x14ac:dyDescent="0.2">
      <c r="B20" s="317"/>
    </row>
    <row r="21" spans="1:2" s="179" customFormat="1" x14ac:dyDescent="0.2">
      <c r="B21" s="316" t="s">
        <v>145</v>
      </c>
    </row>
    <row r="22" spans="1:2" s="179" customFormat="1" x14ac:dyDescent="0.2">
      <c r="B22" s="317">
        <v>42944</v>
      </c>
    </row>
    <row r="23" spans="1:2" ht="15" x14ac:dyDescent="0.2">
      <c r="A23" s="181"/>
      <c r="B23" s="181"/>
    </row>
    <row r="24" spans="1:2" ht="15" x14ac:dyDescent="0.2">
      <c r="A24" s="181"/>
      <c r="B24" s="182" t="s">
        <v>146</v>
      </c>
    </row>
    <row r="25" spans="1:2" ht="15" x14ac:dyDescent="0.2">
      <c r="A25" s="181"/>
      <c r="B25" s="183" t="s">
        <v>500</v>
      </c>
    </row>
    <row r="26" spans="1:2" ht="15" x14ac:dyDescent="0.2">
      <c r="A26" s="181"/>
      <c r="B26" s="178" t="s">
        <v>501</v>
      </c>
    </row>
    <row r="27" spans="1:2" ht="15" x14ac:dyDescent="0.2">
      <c r="A27" s="181"/>
      <c r="B27" s="183" t="s">
        <v>147</v>
      </c>
    </row>
    <row r="28" spans="1:2" ht="15" x14ac:dyDescent="0.2">
      <c r="A28" s="181"/>
      <c r="B28" s="178" t="s">
        <v>148</v>
      </c>
    </row>
    <row r="29" spans="1:2" ht="15" x14ac:dyDescent="0.2">
      <c r="A29" s="181"/>
      <c r="B29" s="181"/>
    </row>
    <row r="30" spans="1:2" ht="15" x14ac:dyDescent="0.2">
      <c r="A30" s="181"/>
      <c r="B30" s="322" t="s">
        <v>558</v>
      </c>
    </row>
    <row r="31" spans="1:2" x14ac:dyDescent="0.2">
      <c r="B31" s="323" t="s">
        <v>559</v>
      </c>
    </row>
    <row r="32" spans="1:2" x14ac:dyDescent="0.2">
      <c r="B32" s="324" t="s">
        <v>150</v>
      </c>
    </row>
    <row r="33" spans="2:2" x14ac:dyDescent="0.2">
      <c r="B33" s="323" t="s">
        <v>151</v>
      </c>
    </row>
    <row r="35" spans="2:2" x14ac:dyDescent="0.2">
      <c r="B35" s="177" t="s">
        <v>560</v>
      </c>
    </row>
    <row r="36" spans="2:2" x14ac:dyDescent="0.2">
      <c r="B36" s="178" t="s">
        <v>149</v>
      </c>
    </row>
    <row r="38" spans="2:2" x14ac:dyDescent="0.2">
      <c r="B38" s="182" t="s">
        <v>152</v>
      </c>
    </row>
    <row r="39" spans="2:2" x14ac:dyDescent="0.2">
      <c r="B39" s="184" t="s">
        <v>153</v>
      </c>
    </row>
  </sheetData>
  <hyperlinks>
    <hyperlink ref="B7" r:id="rId1" display="Insolvency Statistics - January to March 2015 (Q1 2015)"/>
    <hyperlink ref="B32" r:id="rId2" display="mailto:statistics@insolvency.gsi.gov.uk"/>
    <hyperlink ref="B39" r:id="rId3"/>
  </hyperlinks>
  <pageMargins left="0.75" right="0.75" top="1" bottom="1" header="0.5" footer="0.5"/>
  <pageSetup paperSize="9" scale="69" orientation="portrait" r:id="rId4"/>
  <headerFooter alignWithMargins="0"/>
  <drawing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2:E49"/>
  <sheetViews>
    <sheetView tabSelected="1" workbookViewId="0">
      <selection activeCell="A2" sqref="A2"/>
    </sheetView>
  </sheetViews>
  <sheetFormatPr defaultRowHeight="12.75" x14ac:dyDescent="0.2"/>
  <cols>
    <col min="1" max="1" width="2.5703125" style="179" customWidth="1"/>
    <col min="2" max="2" width="9.140625" style="179"/>
    <col min="3" max="3" width="48.7109375" style="179" customWidth="1"/>
    <col min="4" max="4" width="21.7109375" style="179" customWidth="1"/>
    <col min="5" max="5" width="23.7109375" style="179" bestFit="1" customWidth="1"/>
    <col min="6" max="16384" width="9.140625" style="179"/>
  </cols>
  <sheetData>
    <row r="2" spans="2:4" ht="19.5" x14ac:dyDescent="0.3">
      <c r="B2" s="295" t="s">
        <v>507</v>
      </c>
    </row>
    <row r="4" spans="2:4" x14ac:dyDescent="0.2">
      <c r="B4" s="296" t="s">
        <v>208</v>
      </c>
    </row>
    <row r="5" spans="2:4" x14ac:dyDescent="0.2">
      <c r="B5" s="296" t="s">
        <v>209</v>
      </c>
    </row>
    <row r="7" spans="2:4" x14ac:dyDescent="0.2">
      <c r="B7" s="297" t="s">
        <v>206</v>
      </c>
    </row>
    <row r="8" spans="2:4" x14ac:dyDescent="0.2">
      <c r="B8" s="296" t="s">
        <v>211</v>
      </c>
    </row>
    <row r="9" spans="2:4" x14ac:dyDescent="0.2">
      <c r="B9" s="296" t="s">
        <v>212</v>
      </c>
    </row>
    <row r="10" spans="2:4" ht="4.5" customHeight="1" x14ac:dyDescent="0.2"/>
    <row r="11" spans="2:4" x14ac:dyDescent="0.2">
      <c r="B11" s="296" t="s">
        <v>274</v>
      </c>
    </row>
    <row r="12" spans="2:4" x14ac:dyDescent="0.2">
      <c r="B12" s="296" t="s">
        <v>225</v>
      </c>
    </row>
    <row r="13" spans="2:4" ht="4.5" customHeight="1" x14ac:dyDescent="0.2">
      <c r="B13" s="296"/>
    </row>
    <row r="14" spans="2:4" x14ac:dyDescent="0.2">
      <c r="B14" s="297" t="s">
        <v>226</v>
      </c>
    </row>
    <row r="15" spans="2:4" x14ac:dyDescent="0.2">
      <c r="B15" s="296" t="s">
        <v>275</v>
      </c>
      <c r="D15" s="298"/>
    </row>
    <row r="16" spans="2:4" ht="4.5" customHeight="1" x14ac:dyDescent="0.2">
      <c r="B16" s="296"/>
    </row>
    <row r="17" spans="2:5" x14ac:dyDescent="0.2">
      <c r="B17" s="297" t="s">
        <v>227</v>
      </c>
    </row>
    <row r="18" spans="2:5" x14ac:dyDescent="0.2">
      <c r="B18" s="296" t="s">
        <v>228</v>
      </c>
    </row>
    <row r="20" spans="2:5" s="300" customFormat="1" ht="18.75" x14ac:dyDescent="0.25">
      <c r="B20" s="299" t="s">
        <v>210</v>
      </c>
      <c r="C20" s="299" t="s">
        <v>205</v>
      </c>
      <c r="D20" s="299" t="s">
        <v>219</v>
      </c>
      <c r="E20" s="299" t="s">
        <v>276</v>
      </c>
    </row>
    <row r="21" spans="2:5" s="304" customFormat="1" ht="19.5" customHeight="1" x14ac:dyDescent="0.25">
      <c r="B21" s="301" t="s">
        <v>214</v>
      </c>
      <c r="C21" s="302"/>
      <c r="D21" s="302"/>
      <c r="E21" s="303"/>
    </row>
    <row r="22" spans="2:5" x14ac:dyDescent="0.2">
      <c r="B22" s="305" t="s">
        <v>117</v>
      </c>
      <c r="C22" s="306" t="s">
        <v>155</v>
      </c>
      <c r="D22" s="305" t="s">
        <v>48</v>
      </c>
      <c r="E22" s="305" t="s">
        <v>221</v>
      </c>
    </row>
    <row r="23" spans="2:5" x14ac:dyDescent="0.2">
      <c r="B23" s="305" t="s">
        <v>118</v>
      </c>
      <c r="C23" s="306" t="s">
        <v>155</v>
      </c>
      <c r="D23" s="305" t="s">
        <v>47</v>
      </c>
      <c r="E23" s="305" t="s">
        <v>221</v>
      </c>
    </row>
    <row r="24" spans="2:5" x14ac:dyDescent="0.2">
      <c r="B24" s="305" t="s">
        <v>50</v>
      </c>
      <c r="C24" s="306" t="s">
        <v>162</v>
      </c>
      <c r="D24" s="305" t="s">
        <v>47</v>
      </c>
      <c r="E24" s="305" t="s">
        <v>104</v>
      </c>
    </row>
    <row r="25" spans="2:5" x14ac:dyDescent="0.2">
      <c r="B25" s="305" t="s">
        <v>107</v>
      </c>
      <c r="C25" s="306" t="s">
        <v>166</v>
      </c>
      <c r="D25" s="305" t="s">
        <v>135</v>
      </c>
      <c r="E25" s="305" t="s">
        <v>56</v>
      </c>
    </row>
    <row r="26" spans="2:5" s="304" customFormat="1" ht="19.5" customHeight="1" x14ac:dyDescent="0.25">
      <c r="B26" s="301" t="s">
        <v>213</v>
      </c>
      <c r="C26" s="302"/>
      <c r="D26" s="302"/>
      <c r="E26" s="303"/>
    </row>
    <row r="27" spans="2:5" x14ac:dyDescent="0.2">
      <c r="B27" s="305" t="s">
        <v>122</v>
      </c>
      <c r="C27" s="306" t="s">
        <v>170</v>
      </c>
      <c r="D27" s="307" t="s">
        <v>48</v>
      </c>
      <c r="E27" s="307" t="s">
        <v>50</v>
      </c>
    </row>
    <row r="28" spans="2:5" x14ac:dyDescent="0.2">
      <c r="B28" s="305" t="s">
        <v>126</v>
      </c>
      <c r="C28" s="306" t="s">
        <v>170</v>
      </c>
      <c r="D28" s="307" t="s">
        <v>47</v>
      </c>
      <c r="E28" s="307" t="s">
        <v>50</v>
      </c>
    </row>
    <row r="29" spans="2:5" x14ac:dyDescent="0.2">
      <c r="B29" s="305" t="s">
        <v>80</v>
      </c>
      <c r="C29" s="306" t="s">
        <v>127</v>
      </c>
      <c r="D29" s="307" t="s">
        <v>135</v>
      </c>
      <c r="E29" s="307" t="s">
        <v>108</v>
      </c>
    </row>
    <row r="30" spans="2:5" x14ac:dyDescent="0.2">
      <c r="B30" s="305" t="s">
        <v>128</v>
      </c>
      <c r="C30" s="306" t="s">
        <v>201</v>
      </c>
      <c r="D30" s="307" t="s">
        <v>48</v>
      </c>
      <c r="E30" s="307" t="s">
        <v>78</v>
      </c>
    </row>
    <row r="31" spans="2:5" x14ac:dyDescent="0.2">
      <c r="B31" s="305" t="s">
        <v>130</v>
      </c>
      <c r="C31" s="306" t="s">
        <v>201</v>
      </c>
      <c r="D31" s="307" t="s">
        <v>47</v>
      </c>
      <c r="E31" s="307" t="s">
        <v>78</v>
      </c>
    </row>
    <row r="32" spans="2:5" x14ac:dyDescent="0.2">
      <c r="B32" s="305" t="s">
        <v>131</v>
      </c>
      <c r="C32" s="306" t="s">
        <v>220</v>
      </c>
      <c r="D32" s="307" t="s">
        <v>48</v>
      </c>
      <c r="E32" s="307" t="s">
        <v>51</v>
      </c>
    </row>
    <row r="33" spans="2:5" x14ac:dyDescent="0.2">
      <c r="B33" s="305" t="s">
        <v>132</v>
      </c>
      <c r="C33" s="306" t="s">
        <v>220</v>
      </c>
      <c r="D33" s="307" t="s">
        <v>47</v>
      </c>
      <c r="E33" s="307" t="s">
        <v>51</v>
      </c>
    </row>
    <row r="34" spans="2:5" x14ac:dyDescent="0.2">
      <c r="B34" s="305" t="s">
        <v>198</v>
      </c>
      <c r="C34" s="306" t="s">
        <v>181</v>
      </c>
      <c r="D34" s="307" t="s">
        <v>48</v>
      </c>
      <c r="E34" s="308" t="s">
        <v>223</v>
      </c>
    </row>
    <row r="35" spans="2:5" x14ac:dyDescent="0.2">
      <c r="B35" s="305" t="s">
        <v>199</v>
      </c>
      <c r="C35" s="306" t="s">
        <v>181</v>
      </c>
      <c r="D35" s="307" t="s">
        <v>47</v>
      </c>
      <c r="E35" s="307" t="s">
        <v>222</v>
      </c>
    </row>
    <row r="36" spans="2:5" s="304" customFormat="1" ht="19.5" customHeight="1" x14ac:dyDescent="0.25">
      <c r="B36" s="301" t="s">
        <v>215</v>
      </c>
      <c r="C36" s="302"/>
      <c r="D36" s="302"/>
      <c r="E36" s="303"/>
    </row>
    <row r="37" spans="2:5" x14ac:dyDescent="0.2">
      <c r="B37" s="305" t="s">
        <v>133</v>
      </c>
      <c r="C37" s="306" t="s">
        <v>155</v>
      </c>
      <c r="D37" s="308" t="s">
        <v>47</v>
      </c>
      <c r="E37" s="307" t="s">
        <v>224</v>
      </c>
    </row>
    <row r="38" spans="2:5" x14ac:dyDescent="0.2">
      <c r="B38" s="305" t="s">
        <v>134</v>
      </c>
      <c r="C38" s="306" t="s">
        <v>166</v>
      </c>
      <c r="D38" s="308" t="s">
        <v>135</v>
      </c>
      <c r="E38" s="307" t="s">
        <v>56</v>
      </c>
    </row>
    <row r="39" spans="2:5" s="304" customFormat="1" ht="19.5" customHeight="1" x14ac:dyDescent="0.25">
      <c r="B39" s="301" t="s">
        <v>216</v>
      </c>
      <c r="C39" s="302"/>
      <c r="D39" s="302"/>
      <c r="E39" s="303"/>
    </row>
    <row r="40" spans="2:5" x14ac:dyDescent="0.2">
      <c r="B40" s="305" t="s">
        <v>136</v>
      </c>
      <c r="C40" s="306" t="s">
        <v>170</v>
      </c>
      <c r="D40" s="307" t="s">
        <v>47</v>
      </c>
      <c r="E40" s="308" t="s">
        <v>79</v>
      </c>
    </row>
    <row r="41" spans="2:5" s="304" customFormat="1" ht="19.5" customHeight="1" x14ac:dyDescent="0.25">
      <c r="B41" s="301" t="s">
        <v>218</v>
      </c>
      <c r="C41" s="302"/>
      <c r="D41" s="302"/>
      <c r="E41" s="303"/>
    </row>
    <row r="42" spans="2:5" x14ac:dyDescent="0.2">
      <c r="B42" s="305" t="s">
        <v>138</v>
      </c>
      <c r="C42" s="306" t="s">
        <v>155</v>
      </c>
      <c r="D42" s="307" t="s">
        <v>47</v>
      </c>
      <c r="E42" s="307" t="s">
        <v>55</v>
      </c>
    </row>
    <row r="43" spans="2:5" x14ac:dyDescent="0.2">
      <c r="B43" s="305" t="s">
        <v>139</v>
      </c>
      <c r="C43" s="306" t="s">
        <v>166</v>
      </c>
      <c r="D43" s="307" t="s">
        <v>135</v>
      </c>
      <c r="E43" s="307" t="s">
        <v>223</v>
      </c>
    </row>
    <row r="44" spans="2:5" s="304" customFormat="1" ht="19.5" customHeight="1" x14ac:dyDescent="0.25">
      <c r="B44" s="301" t="s">
        <v>217</v>
      </c>
      <c r="C44" s="302"/>
      <c r="D44" s="302"/>
      <c r="E44" s="303"/>
    </row>
    <row r="45" spans="2:5" x14ac:dyDescent="0.2">
      <c r="B45" s="305" t="s">
        <v>200</v>
      </c>
      <c r="C45" s="306" t="s">
        <v>170</v>
      </c>
      <c r="D45" s="307" t="s">
        <v>47</v>
      </c>
      <c r="E45" s="307" t="s">
        <v>55</v>
      </c>
    </row>
    <row r="47" spans="2:5" x14ac:dyDescent="0.2">
      <c r="B47" s="296" t="s">
        <v>230</v>
      </c>
    </row>
    <row r="48" spans="2:5" x14ac:dyDescent="0.2">
      <c r="B48" s="309" t="s">
        <v>229</v>
      </c>
    </row>
    <row r="49" spans="2:2" x14ac:dyDescent="0.2">
      <c r="B49" s="309" t="s">
        <v>277</v>
      </c>
    </row>
  </sheetData>
  <hyperlinks>
    <hyperlink ref="C22" location="'Table 1a'!A1" display="Company insolvencies"/>
    <hyperlink ref="C23" location="'Table 1b'!A1" display="Company insolvencies"/>
    <hyperlink ref="C24" location="'Table 2'!A1" display="Creditors' voluntary liquidations following administration"/>
    <hyperlink ref="C25" location="'Table 3'!A1" display="Company liquidation rate"/>
    <hyperlink ref="C27" location="'Table 4a'!A1" display="Individual insolvencies"/>
    <hyperlink ref="C28" location="'Table 4b'!A1" display="Individual insolvencies"/>
    <hyperlink ref="C29" location="'Table 5'!A1" display="Individual insolvency rate"/>
    <hyperlink ref="C30" location="'Table 6a'!A1" display="Bankruptcies by petition type"/>
    <hyperlink ref="C31" location="'Table 6b'!A1" display="Bankruptcies by petition type"/>
    <hyperlink ref="C32" location="'Table 7a'!A1" display="Bankruptcies by self-employment status"/>
    <hyperlink ref="C33" location="'Table 7b'!A1" display="Bankruptcies by self-employment status"/>
    <hyperlink ref="C34" location="'Table 8a'!A1" display="Income payment orders (IPOs) and agreements (IPAs)"/>
    <hyperlink ref="C35" location="'Table 8b'!A1" display="Income payment orders (IPOs) and agreements (IPAs)"/>
    <hyperlink ref="C37" location="'Table 9'!A1" display="Company insolvencies"/>
    <hyperlink ref="C38" location="'Table 10'!A1" display="Company liquidation rate"/>
    <hyperlink ref="C40" location="'Table 11'!A1" display="Individual insolvencies"/>
    <hyperlink ref="C42" location="'Table 12'!A1" display="Company liquidations"/>
    <hyperlink ref="C43" location="'Table 13'!A1" display="Company liquidation rate"/>
    <hyperlink ref="C45" location="'Table 14'!A1" display="Individual insolvencies"/>
  </hyperlink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8:L170"/>
  <sheetViews>
    <sheetView showGridLines="0" zoomScaleNormal="100" workbookViewId="0">
      <selection activeCell="A2" sqref="A2"/>
    </sheetView>
  </sheetViews>
  <sheetFormatPr defaultRowHeight="12.75" x14ac:dyDescent="0.2"/>
  <cols>
    <col min="1" max="1" width="2.85546875" style="262" customWidth="1"/>
    <col min="2" max="2" width="1" style="262" customWidth="1"/>
    <col min="3" max="3" width="2.85546875" style="262" customWidth="1"/>
    <col min="4" max="4" width="12" style="262" customWidth="1"/>
    <col min="5" max="5" width="9.5703125" style="262" customWidth="1"/>
    <col min="6" max="6" width="12.28515625" style="262" customWidth="1"/>
    <col min="7" max="7" width="9.140625" style="262"/>
    <col min="8" max="8" width="9.7109375" style="262" customWidth="1"/>
    <col min="9" max="10" width="9.140625" style="262"/>
    <col min="11" max="11" width="10.42578125" style="262" customWidth="1"/>
    <col min="12" max="12" width="16.28515625" style="262" customWidth="1"/>
    <col min="13" max="13" width="2.28515625" style="262" customWidth="1"/>
    <col min="14" max="16384" width="9.140625" style="262"/>
  </cols>
  <sheetData>
    <row r="8" spans="2:6" ht="5.25" customHeight="1" x14ac:dyDescent="0.2">
      <c r="B8" s="263"/>
      <c r="C8" s="264"/>
      <c r="D8" s="264"/>
      <c r="E8" s="264"/>
      <c r="F8" s="265"/>
    </row>
    <row r="9" spans="2:6" x14ac:dyDescent="0.2">
      <c r="B9" s="266"/>
      <c r="C9" s="267" t="s">
        <v>278</v>
      </c>
      <c r="D9" s="268"/>
      <c r="E9" s="268"/>
      <c r="F9" s="269"/>
    </row>
    <row r="10" spans="2:6" x14ac:dyDescent="0.2">
      <c r="B10" s="266"/>
      <c r="C10" s="271" t="s">
        <v>415</v>
      </c>
      <c r="D10" s="268" t="s">
        <v>416</v>
      </c>
      <c r="E10" s="268"/>
      <c r="F10" s="269"/>
    </row>
    <row r="11" spans="2:6" x14ac:dyDescent="0.2">
      <c r="B11" s="270"/>
      <c r="C11" s="271" t="s">
        <v>197</v>
      </c>
      <c r="D11" s="268" t="s">
        <v>279</v>
      </c>
      <c r="E11" s="268"/>
      <c r="F11" s="269"/>
    </row>
    <row r="12" spans="2:6" x14ac:dyDescent="0.2">
      <c r="B12" s="270"/>
      <c r="C12" s="271" t="s">
        <v>280</v>
      </c>
      <c r="D12" s="268" t="s">
        <v>281</v>
      </c>
      <c r="E12" s="268"/>
      <c r="F12" s="269"/>
    </row>
    <row r="13" spans="2:6" x14ac:dyDescent="0.2">
      <c r="B13" s="270"/>
      <c r="C13" s="271" t="s">
        <v>207</v>
      </c>
      <c r="D13" s="268" t="s">
        <v>282</v>
      </c>
      <c r="E13" s="268"/>
      <c r="F13" s="269"/>
    </row>
    <row r="14" spans="2:6" x14ac:dyDescent="0.2">
      <c r="B14" s="270"/>
      <c r="C14" s="271" t="s">
        <v>67</v>
      </c>
      <c r="D14" s="268" t="s">
        <v>283</v>
      </c>
      <c r="E14" s="268"/>
      <c r="F14" s="269"/>
    </row>
    <row r="15" spans="2:6" ht="5.25" customHeight="1" x14ac:dyDescent="0.2">
      <c r="B15" s="272"/>
      <c r="C15" s="273"/>
      <c r="D15" s="273"/>
      <c r="E15" s="273"/>
      <c r="F15" s="274"/>
    </row>
    <row r="17" spans="2:10" ht="18" x14ac:dyDescent="0.25">
      <c r="B17" s="275" t="s">
        <v>284</v>
      </c>
    </row>
    <row r="19" spans="2:10" x14ac:dyDescent="0.2">
      <c r="B19" s="262" t="s">
        <v>286</v>
      </c>
      <c r="G19" s="185" t="s">
        <v>287</v>
      </c>
      <c r="J19" s="262" t="s">
        <v>288</v>
      </c>
    </row>
    <row r="20" spans="2:10" x14ac:dyDescent="0.2">
      <c r="B20" s="262" t="s">
        <v>289</v>
      </c>
    </row>
    <row r="21" spans="2:10" x14ac:dyDescent="0.2">
      <c r="B21" s="262" t="s">
        <v>290</v>
      </c>
    </row>
    <row r="22" spans="2:10" x14ac:dyDescent="0.2">
      <c r="B22" s="262" t="s">
        <v>291</v>
      </c>
    </row>
    <row r="24" spans="2:10" ht="15.75" x14ac:dyDescent="0.25">
      <c r="B24" s="276" t="s">
        <v>285</v>
      </c>
    </row>
    <row r="26" spans="2:10" x14ac:dyDescent="0.2">
      <c r="B26" s="262" t="s">
        <v>292</v>
      </c>
    </row>
    <row r="27" spans="2:10" x14ac:dyDescent="0.2">
      <c r="B27" s="262" t="s">
        <v>293</v>
      </c>
    </row>
    <row r="28" spans="2:10" x14ac:dyDescent="0.2">
      <c r="B28" s="185" t="s">
        <v>294</v>
      </c>
      <c r="F28" s="262" t="s">
        <v>295</v>
      </c>
    </row>
    <row r="30" spans="2:10" x14ac:dyDescent="0.2">
      <c r="B30" s="261" t="s">
        <v>296</v>
      </c>
    </row>
    <row r="31" spans="2:10" x14ac:dyDescent="0.2">
      <c r="B31" s="262" t="s">
        <v>297</v>
      </c>
    </row>
    <row r="32" spans="2:10" x14ac:dyDescent="0.2">
      <c r="B32" s="262" t="s">
        <v>298</v>
      </c>
    </row>
    <row r="33" spans="2:9" x14ac:dyDescent="0.2">
      <c r="B33" s="262" t="s">
        <v>503</v>
      </c>
    </row>
    <row r="34" spans="2:9" x14ac:dyDescent="0.2">
      <c r="B34" s="262" t="s">
        <v>502</v>
      </c>
    </row>
    <row r="35" spans="2:9" x14ac:dyDescent="0.2">
      <c r="B35" s="262" t="s">
        <v>299</v>
      </c>
    </row>
    <row r="36" spans="2:9" x14ac:dyDescent="0.2">
      <c r="B36" s="262" t="s">
        <v>504</v>
      </c>
    </row>
    <row r="37" spans="2:9" x14ac:dyDescent="0.2">
      <c r="B37" s="262" t="s">
        <v>300</v>
      </c>
    </row>
    <row r="38" spans="2:9" x14ac:dyDescent="0.2">
      <c r="B38" s="262" t="s">
        <v>301</v>
      </c>
    </row>
    <row r="39" spans="2:9" x14ac:dyDescent="0.2">
      <c r="B39" s="262" t="s">
        <v>302</v>
      </c>
      <c r="F39" s="186" t="s">
        <v>303</v>
      </c>
    </row>
    <row r="41" spans="2:9" x14ac:dyDescent="0.2">
      <c r="B41" s="261" t="s">
        <v>304</v>
      </c>
    </row>
    <row r="42" spans="2:9" x14ac:dyDescent="0.2">
      <c r="B42" s="262" t="s">
        <v>305</v>
      </c>
    </row>
    <row r="43" spans="2:9" x14ac:dyDescent="0.2">
      <c r="B43" s="262" t="s">
        <v>433</v>
      </c>
      <c r="G43" s="185" t="s">
        <v>434</v>
      </c>
    </row>
    <row r="44" spans="2:9" x14ac:dyDescent="0.2">
      <c r="B44" s="262" t="s">
        <v>306</v>
      </c>
    </row>
    <row r="45" spans="2:9" x14ac:dyDescent="0.2">
      <c r="B45" s="262" t="s">
        <v>307</v>
      </c>
    </row>
    <row r="46" spans="2:9" x14ac:dyDescent="0.2">
      <c r="B46" s="262" t="s">
        <v>308</v>
      </c>
    </row>
    <row r="47" spans="2:9" x14ac:dyDescent="0.2">
      <c r="B47" s="262" t="s">
        <v>309</v>
      </c>
    </row>
    <row r="48" spans="2:9" x14ac:dyDescent="0.2">
      <c r="B48" s="262" t="s">
        <v>310</v>
      </c>
      <c r="G48" s="185" t="s">
        <v>294</v>
      </c>
      <c r="I48" s="262" t="s">
        <v>311</v>
      </c>
    </row>
    <row r="50" spans="2:10" x14ac:dyDescent="0.2">
      <c r="B50" s="261" t="s">
        <v>312</v>
      </c>
    </row>
    <row r="51" spans="2:10" x14ac:dyDescent="0.2">
      <c r="B51" s="262" t="s">
        <v>314</v>
      </c>
      <c r="J51" s="186" t="s">
        <v>313</v>
      </c>
    </row>
    <row r="52" spans="2:10" x14ac:dyDescent="0.2">
      <c r="B52" s="262" t="s">
        <v>436</v>
      </c>
      <c r="J52" s="186"/>
    </row>
    <row r="53" spans="2:10" x14ac:dyDescent="0.2">
      <c r="B53" s="262" t="s">
        <v>437</v>
      </c>
      <c r="J53" s="186"/>
    </row>
    <row r="54" spans="2:10" x14ac:dyDescent="0.2">
      <c r="B54" s="262" t="s">
        <v>438</v>
      </c>
      <c r="G54" s="262" t="s">
        <v>439</v>
      </c>
      <c r="J54" s="186"/>
    </row>
    <row r="55" spans="2:10" x14ac:dyDescent="0.2">
      <c r="B55" s="262" t="s">
        <v>435</v>
      </c>
    </row>
    <row r="56" spans="2:10" x14ac:dyDescent="0.2">
      <c r="B56" s="262" t="s">
        <v>315</v>
      </c>
    </row>
    <row r="57" spans="2:10" x14ac:dyDescent="0.2">
      <c r="B57" s="262" t="s">
        <v>316</v>
      </c>
    </row>
    <row r="58" spans="2:10" x14ac:dyDescent="0.2">
      <c r="B58" s="262" t="s">
        <v>317</v>
      </c>
    </row>
    <row r="59" spans="2:10" x14ac:dyDescent="0.2">
      <c r="B59" s="262" t="s">
        <v>440</v>
      </c>
    </row>
    <row r="60" spans="2:10" x14ac:dyDescent="0.2">
      <c r="B60" s="262" t="s">
        <v>441</v>
      </c>
    </row>
    <row r="61" spans="2:10" x14ac:dyDescent="0.2">
      <c r="B61" s="262" t="s">
        <v>442</v>
      </c>
    </row>
    <row r="62" spans="2:10" x14ac:dyDescent="0.2">
      <c r="B62" s="262" t="s">
        <v>443</v>
      </c>
    </row>
    <row r="63" spans="2:10" x14ac:dyDescent="0.2">
      <c r="B63" s="262" t="s">
        <v>444</v>
      </c>
    </row>
    <row r="66" spans="2:9" ht="15.75" x14ac:dyDescent="0.25">
      <c r="B66" s="276" t="s">
        <v>318</v>
      </c>
    </row>
    <row r="67" spans="2:9" x14ac:dyDescent="0.2">
      <c r="B67" s="262" t="s">
        <v>319</v>
      </c>
    </row>
    <row r="68" spans="2:9" x14ac:dyDescent="0.2">
      <c r="B68" s="262" t="s">
        <v>320</v>
      </c>
    </row>
    <row r="69" spans="2:9" x14ac:dyDescent="0.2">
      <c r="B69" s="262" t="s">
        <v>322</v>
      </c>
      <c r="F69" s="185" t="s">
        <v>321</v>
      </c>
      <c r="I69" s="262" t="s">
        <v>323</v>
      </c>
    </row>
    <row r="70" spans="2:9" x14ac:dyDescent="0.2">
      <c r="B70" s="185" t="s">
        <v>324</v>
      </c>
      <c r="C70" s="185"/>
      <c r="I70" s="262" t="s">
        <v>325</v>
      </c>
    </row>
    <row r="72" spans="2:9" x14ac:dyDescent="0.2">
      <c r="B72" s="182" t="s">
        <v>326</v>
      </c>
    </row>
    <row r="73" spans="2:9" x14ac:dyDescent="0.2">
      <c r="B73" s="262" t="s">
        <v>327</v>
      </c>
    </row>
    <row r="74" spans="2:9" x14ac:dyDescent="0.2">
      <c r="B74" s="262" t="s">
        <v>328</v>
      </c>
    </row>
    <row r="75" spans="2:9" x14ac:dyDescent="0.2">
      <c r="B75" s="262" t="s">
        <v>329</v>
      </c>
    </row>
    <row r="76" spans="2:9" x14ac:dyDescent="0.2">
      <c r="B76" s="262" t="s">
        <v>330</v>
      </c>
    </row>
    <row r="77" spans="2:9" x14ac:dyDescent="0.2">
      <c r="B77" s="262" t="s">
        <v>331</v>
      </c>
    </row>
    <row r="78" spans="2:9" x14ac:dyDescent="0.2">
      <c r="B78" s="262" t="s">
        <v>332</v>
      </c>
    </row>
    <row r="79" spans="2:9" x14ac:dyDescent="0.2">
      <c r="B79" s="262" t="s">
        <v>333</v>
      </c>
    </row>
    <row r="80" spans="2:9" x14ac:dyDescent="0.2">
      <c r="B80" s="262" t="s">
        <v>334</v>
      </c>
    </row>
    <row r="81" spans="2:2" x14ac:dyDescent="0.2">
      <c r="B81" s="262" t="s">
        <v>335</v>
      </c>
    </row>
    <row r="82" spans="2:2" x14ac:dyDescent="0.2">
      <c r="B82" s="262" t="s">
        <v>336</v>
      </c>
    </row>
    <row r="83" spans="2:2" x14ac:dyDescent="0.2">
      <c r="B83" s="262" t="s">
        <v>337</v>
      </c>
    </row>
    <row r="84" spans="2:2" x14ac:dyDescent="0.2">
      <c r="B84" s="262" t="s">
        <v>338</v>
      </c>
    </row>
    <row r="85" spans="2:2" x14ac:dyDescent="0.2">
      <c r="B85" s="262" t="s">
        <v>339</v>
      </c>
    </row>
    <row r="86" spans="2:2" x14ac:dyDescent="0.2">
      <c r="B86" s="262" t="s">
        <v>340</v>
      </c>
    </row>
    <row r="87" spans="2:2" x14ac:dyDescent="0.2">
      <c r="B87" s="262" t="s">
        <v>341</v>
      </c>
    </row>
    <row r="88" spans="2:2" x14ac:dyDescent="0.2">
      <c r="B88" s="262" t="s">
        <v>342</v>
      </c>
    </row>
    <row r="90" spans="2:2" x14ac:dyDescent="0.2">
      <c r="B90" s="177" t="s">
        <v>343</v>
      </c>
    </row>
    <row r="91" spans="2:2" x14ac:dyDescent="0.2">
      <c r="B91" s="278" t="s">
        <v>344</v>
      </c>
    </row>
    <row r="92" spans="2:2" x14ac:dyDescent="0.2">
      <c r="B92" s="262" t="s">
        <v>345</v>
      </c>
    </row>
    <row r="93" spans="2:2" x14ac:dyDescent="0.2">
      <c r="B93" s="262" t="s">
        <v>346</v>
      </c>
    </row>
    <row r="94" spans="2:2" x14ac:dyDescent="0.2">
      <c r="B94" s="262" t="s">
        <v>347</v>
      </c>
    </row>
    <row r="95" spans="2:2" x14ac:dyDescent="0.2">
      <c r="B95" s="262" t="s">
        <v>445</v>
      </c>
    </row>
    <row r="96" spans="2:2" x14ac:dyDescent="0.2">
      <c r="B96" s="262" t="s">
        <v>446</v>
      </c>
    </row>
    <row r="97" spans="2:5" x14ac:dyDescent="0.2">
      <c r="B97" s="262" t="s">
        <v>447</v>
      </c>
    </row>
    <row r="98" spans="2:5" x14ac:dyDescent="0.2">
      <c r="B98" s="262" t="s">
        <v>448</v>
      </c>
    </row>
    <row r="99" spans="2:5" x14ac:dyDescent="0.2">
      <c r="B99" s="262" t="s">
        <v>449</v>
      </c>
    </row>
    <row r="100" spans="2:5" x14ac:dyDescent="0.2">
      <c r="B100" s="262" t="s">
        <v>450</v>
      </c>
    </row>
    <row r="101" spans="2:5" x14ac:dyDescent="0.2">
      <c r="B101" s="262" t="s">
        <v>451</v>
      </c>
    </row>
    <row r="105" spans="2:5" x14ac:dyDescent="0.2">
      <c r="B105" s="182" t="s">
        <v>348</v>
      </c>
    </row>
    <row r="106" spans="2:5" x14ac:dyDescent="0.2">
      <c r="B106" s="278" t="s">
        <v>349</v>
      </c>
    </row>
    <row r="107" spans="2:5" x14ac:dyDescent="0.2">
      <c r="B107" s="262" t="s">
        <v>452</v>
      </c>
    </row>
    <row r="108" spans="2:5" x14ac:dyDescent="0.2">
      <c r="B108" s="262" t="s">
        <v>350</v>
      </c>
    </row>
    <row r="109" spans="2:5" x14ac:dyDescent="0.2">
      <c r="B109" s="262" t="s">
        <v>353</v>
      </c>
    </row>
    <row r="110" spans="2:5" x14ac:dyDescent="0.2">
      <c r="B110" s="262" t="s">
        <v>351</v>
      </c>
    </row>
    <row r="111" spans="2:5" x14ac:dyDescent="0.2">
      <c r="B111" s="262" t="s">
        <v>352</v>
      </c>
    </row>
    <row r="112" spans="2:5" x14ac:dyDescent="0.2">
      <c r="B112" s="185" t="s">
        <v>354</v>
      </c>
      <c r="E112" s="262" t="s">
        <v>355</v>
      </c>
    </row>
    <row r="113" spans="2:11" x14ac:dyDescent="0.2">
      <c r="B113" s="262" t="s">
        <v>356</v>
      </c>
    </row>
    <row r="114" spans="2:11" x14ac:dyDescent="0.2">
      <c r="B114" s="262" t="s">
        <v>453</v>
      </c>
    </row>
    <row r="115" spans="2:11" x14ac:dyDescent="0.2">
      <c r="B115" s="185" t="s">
        <v>357</v>
      </c>
      <c r="F115" s="262" t="s">
        <v>358</v>
      </c>
    </row>
    <row r="116" spans="2:11" x14ac:dyDescent="0.2">
      <c r="B116" s="262" t="s">
        <v>359</v>
      </c>
    </row>
    <row r="117" spans="2:11" x14ac:dyDescent="0.2">
      <c r="B117" s="262" t="s">
        <v>454</v>
      </c>
    </row>
    <row r="118" spans="2:11" x14ac:dyDescent="0.2">
      <c r="B118" s="262" t="s">
        <v>455</v>
      </c>
    </row>
    <row r="119" spans="2:11" x14ac:dyDescent="0.2">
      <c r="B119" s="262" t="s">
        <v>456</v>
      </c>
    </row>
    <row r="120" spans="2:11" x14ac:dyDescent="0.2">
      <c r="B120" s="262" t="s">
        <v>457</v>
      </c>
    </row>
    <row r="121" spans="2:11" x14ac:dyDescent="0.2">
      <c r="B121" s="262" t="s">
        <v>458</v>
      </c>
    </row>
    <row r="122" spans="2:11" x14ac:dyDescent="0.2">
      <c r="B122" s="262" t="s">
        <v>362</v>
      </c>
      <c r="K122" s="185" t="s">
        <v>363</v>
      </c>
    </row>
    <row r="123" spans="2:11" x14ac:dyDescent="0.2">
      <c r="B123" s="262" t="s">
        <v>360</v>
      </c>
    </row>
    <row r="124" spans="2:11" x14ac:dyDescent="0.2">
      <c r="B124" s="262" t="s">
        <v>361</v>
      </c>
    </row>
    <row r="126" spans="2:11" x14ac:dyDescent="0.2">
      <c r="B126" s="182" t="s">
        <v>364</v>
      </c>
    </row>
    <row r="127" spans="2:11" x14ac:dyDescent="0.2">
      <c r="B127" s="278" t="s">
        <v>365</v>
      </c>
    </row>
    <row r="128" spans="2:11" x14ac:dyDescent="0.2">
      <c r="B128" s="262" t="s">
        <v>366</v>
      </c>
    </row>
    <row r="129" spans="2:11" x14ac:dyDescent="0.2">
      <c r="B129" s="262" t="s">
        <v>367</v>
      </c>
    </row>
    <row r="130" spans="2:11" x14ac:dyDescent="0.2">
      <c r="B130" s="262" t="s">
        <v>368</v>
      </c>
    </row>
    <row r="131" spans="2:11" x14ac:dyDescent="0.2">
      <c r="B131" s="262" t="s">
        <v>369</v>
      </c>
    </row>
    <row r="132" spans="2:11" x14ac:dyDescent="0.2">
      <c r="B132" s="262" t="s">
        <v>370</v>
      </c>
    </row>
    <row r="133" spans="2:11" x14ac:dyDescent="0.2">
      <c r="B133" s="262" t="s">
        <v>371</v>
      </c>
    </row>
    <row r="134" spans="2:11" x14ac:dyDescent="0.2">
      <c r="B134" s="262" t="s">
        <v>372</v>
      </c>
      <c r="I134" s="185" t="s">
        <v>373</v>
      </c>
    </row>
    <row r="135" spans="2:11" x14ac:dyDescent="0.2">
      <c r="B135" s="262" t="s">
        <v>374</v>
      </c>
    </row>
    <row r="137" spans="2:11" x14ac:dyDescent="0.2">
      <c r="B137" s="177" t="s">
        <v>375</v>
      </c>
    </row>
    <row r="138" spans="2:11" x14ac:dyDescent="0.2">
      <c r="B138" s="278" t="s">
        <v>376</v>
      </c>
    </row>
    <row r="139" spans="2:11" x14ac:dyDescent="0.2">
      <c r="B139" s="278" t="s">
        <v>377</v>
      </c>
    </row>
    <row r="140" spans="2:11" x14ac:dyDescent="0.2">
      <c r="B140" s="262" t="s">
        <v>378</v>
      </c>
      <c r="J140" s="185" t="s">
        <v>379</v>
      </c>
    </row>
    <row r="141" spans="2:11" x14ac:dyDescent="0.2">
      <c r="B141" s="262" t="s">
        <v>380</v>
      </c>
      <c r="F141" s="277" t="s">
        <v>382</v>
      </c>
      <c r="G141" s="279" t="s">
        <v>383</v>
      </c>
      <c r="K141" s="259"/>
    </row>
    <row r="142" spans="2:11" x14ac:dyDescent="0.2">
      <c r="B142" s="185" t="s">
        <v>381</v>
      </c>
    </row>
    <row r="143" spans="2:11" x14ac:dyDescent="0.2">
      <c r="B143" s="262" t="s">
        <v>385</v>
      </c>
      <c r="I143" s="277" t="s">
        <v>384</v>
      </c>
      <c r="J143" s="262" t="s">
        <v>386</v>
      </c>
    </row>
    <row r="144" spans="2:11" x14ac:dyDescent="0.2">
      <c r="B144" s="262" t="s">
        <v>400</v>
      </c>
    </row>
    <row r="146" spans="2:9" x14ac:dyDescent="0.2">
      <c r="B146" s="182" t="s">
        <v>387</v>
      </c>
    </row>
    <row r="147" spans="2:9" x14ac:dyDescent="0.2">
      <c r="B147" s="262" t="s">
        <v>388</v>
      </c>
    </row>
    <row r="148" spans="2:9" x14ac:dyDescent="0.2">
      <c r="B148" s="262" t="s">
        <v>389</v>
      </c>
    </row>
    <row r="149" spans="2:9" x14ac:dyDescent="0.2">
      <c r="B149" s="262" t="s">
        <v>390</v>
      </c>
      <c r="I149" s="277" t="s">
        <v>391</v>
      </c>
    </row>
    <row r="150" spans="2:9" x14ac:dyDescent="0.2">
      <c r="B150" s="262" t="s">
        <v>459</v>
      </c>
      <c r="I150" s="277"/>
    </row>
    <row r="151" spans="2:9" x14ac:dyDescent="0.2">
      <c r="B151" s="262" t="s">
        <v>460</v>
      </c>
      <c r="I151" s="277"/>
    </row>
    <row r="152" spans="2:9" x14ac:dyDescent="0.2">
      <c r="B152" s="262" t="s">
        <v>392</v>
      </c>
    </row>
    <row r="153" spans="2:9" x14ac:dyDescent="0.2">
      <c r="B153" s="262" t="s">
        <v>393</v>
      </c>
    </row>
    <row r="154" spans="2:9" x14ac:dyDescent="0.2">
      <c r="B154" s="262" t="s">
        <v>394</v>
      </c>
    </row>
    <row r="155" spans="2:9" x14ac:dyDescent="0.2">
      <c r="B155" s="262" t="s">
        <v>395</v>
      </c>
    </row>
    <row r="156" spans="2:9" x14ac:dyDescent="0.2">
      <c r="B156" s="262" t="s">
        <v>396</v>
      </c>
    </row>
    <row r="157" spans="2:9" x14ac:dyDescent="0.2">
      <c r="B157" s="262" t="s">
        <v>397</v>
      </c>
    </row>
    <row r="158" spans="2:9" x14ac:dyDescent="0.2">
      <c r="B158" s="262" t="s">
        <v>401</v>
      </c>
      <c r="E158" s="185" t="s">
        <v>287</v>
      </c>
      <c r="H158" s="262" t="s">
        <v>402</v>
      </c>
    </row>
    <row r="161" spans="2:12" x14ac:dyDescent="0.2">
      <c r="B161" s="263"/>
      <c r="C161" s="264"/>
      <c r="D161" s="264"/>
      <c r="E161" s="264"/>
      <c r="F161" s="264"/>
      <c r="G161" s="311" t="s">
        <v>461</v>
      </c>
      <c r="H161" s="264"/>
      <c r="I161" s="264"/>
      <c r="J161" s="264"/>
      <c r="K161" s="264"/>
      <c r="L161" s="265"/>
    </row>
    <row r="162" spans="2:12" x14ac:dyDescent="0.2">
      <c r="B162" s="312"/>
      <c r="C162" s="268" t="s">
        <v>462</v>
      </c>
      <c r="D162" s="268"/>
      <c r="E162" s="268"/>
      <c r="F162" s="268"/>
      <c r="G162" s="268"/>
      <c r="H162" s="268"/>
      <c r="I162" s="268"/>
      <c r="J162" s="268"/>
      <c r="K162" s="268"/>
      <c r="L162" s="269"/>
    </row>
    <row r="163" spans="2:12" x14ac:dyDescent="0.2">
      <c r="B163" s="312"/>
      <c r="C163" s="268" t="s">
        <v>463</v>
      </c>
      <c r="D163" s="268"/>
      <c r="E163" s="268"/>
      <c r="F163" s="268"/>
      <c r="G163" s="268"/>
      <c r="H163" s="268"/>
      <c r="I163" s="268"/>
      <c r="J163" s="268"/>
      <c r="K163" s="268"/>
      <c r="L163" s="269"/>
    </row>
    <row r="164" spans="2:12" x14ac:dyDescent="0.2">
      <c r="B164" s="312"/>
      <c r="C164" s="268" t="s">
        <v>464</v>
      </c>
      <c r="D164" s="268"/>
      <c r="E164" s="268"/>
      <c r="F164" s="268"/>
      <c r="G164" s="268"/>
      <c r="H164" s="268"/>
      <c r="I164" s="268"/>
      <c r="J164" s="268"/>
      <c r="K164" s="268"/>
      <c r="L164" s="269"/>
    </row>
    <row r="165" spans="2:12" x14ac:dyDescent="0.2">
      <c r="B165" s="312"/>
      <c r="C165" s="268"/>
      <c r="D165" s="268" t="s">
        <v>466</v>
      </c>
      <c r="E165" s="268"/>
      <c r="F165" s="268"/>
      <c r="G165" s="268"/>
      <c r="H165" s="268"/>
      <c r="I165" s="268"/>
      <c r="J165" s="268"/>
      <c r="K165" s="268"/>
      <c r="L165" s="269"/>
    </row>
    <row r="166" spans="2:12" x14ac:dyDescent="0.2">
      <c r="B166" s="312"/>
      <c r="C166" s="268"/>
      <c r="D166" s="268" t="s">
        <v>465</v>
      </c>
      <c r="E166" s="268"/>
      <c r="F166" s="268"/>
      <c r="G166" s="268"/>
      <c r="H166" s="268"/>
      <c r="I166" s="268"/>
      <c r="J166" s="268"/>
      <c r="K166" s="268"/>
      <c r="L166" s="269"/>
    </row>
    <row r="167" spans="2:12" x14ac:dyDescent="0.2">
      <c r="B167" s="312"/>
      <c r="C167" s="268"/>
      <c r="D167" s="268" t="s">
        <v>467</v>
      </c>
      <c r="E167" s="268"/>
      <c r="F167" s="268"/>
      <c r="G167" s="268"/>
      <c r="H167" s="268"/>
      <c r="I167" s="268"/>
      <c r="J167" s="268"/>
      <c r="K167" s="268"/>
      <c r="L167" s="269"/>
    </row>
    <row r="168" spans="2:12" x14ac:dyDescent="0.2">
      <c r="B168" s="312"/>
      <c r="C168" s="268"/>
      <c r="D168" s="268" t="s">
        <v>468</v>
      </c>
      <c r="E168" s="268"/>
      <c r="F168" s="268"/>
      <c r="G168" s="268"/>
      <c r="H168" s="268"/>
      <c r="I168" s="268"/>
      <c r="J168" s="268"/>
      <c r="K168" s="268"/>
      <c r="L168" s="269"/>
    </row>
    <row r="169" spans="2:12" x14ac:dyDescent="0.2">
      <c r="B169" s="312"/>
      <c r="C169" s="268" t="s">
        <v>469</v>
      </c>
      <c r="D169" s="268"/>
      <c r="E169" s="268"/>
      <c r="F169" s="268"/>
      <c r="G169" s="268"/>
      <c r="H169" s="268"/>
      <c r="I169" s="268"/>
      <c r="J169" s="268"/>
      <c r="K169" s="268"/>
      <c r="L169" s="269"/>
    </row>
    <row r="170" spans="2:12" x14ac:dyDescent="0.2">
      <c r="B170" s="272"/>
      <c r="C170" s="273" t="s">
        <v>470</v>
      </c>
      <c r="D170" s="273"/>
      <c r="E170" s="273"/>
      <c r="F170" s="273"/>
      <c r="G170" s="273"/>
      <c r="H170" s="273"/>
      <c r="I170" s="273"/>
      <c r="J170" s="273"/>
      <c r="K170" s="273"/>
      <c r="L170" s="274"/>
    </row>
  </sheetData>
  <hyperlinks>
    <hyperlink ref="G19" r:id="rId1"/>
    <hyperlink ref="B28" r:id="rId2"/>
    <hyperlink ref="G48" r:id="rId3"/>
    <hyperlink ref="F69" r:id="rId4"/>
    <hyperlink ref="B70" r:id="rId5" display="policy and procedures"/>
    <hyperlink ref="B112" r:id="rId6"/>
    <hyperlink ref="B115" r:id="rId7"/>
    <hyperlink ref="K122" r:id="rId8"/>
    <hyperlink ref="I134" r:id="rId9"/>
    <hyperlink ref="J140" r:id="rId10"/>
    <hyperlink ref="F141" r:id="rId11" display="Publication Hub and they meet the standards required under the "/>
    <hyperlink ref="B142" r:id="rId12"/>
    <hyperlink ref="I143" r:id="rId13"/>
    <hyperlink ref="I149" r:id="rId14"/>
    <hyperlink ref="F39" r:id="rId15"/>
    <hyperlink ref="J51" r:id="rId16" display="policy and procedures"/>
    <hyperlink ref="E158" r:id="rId17"/>
    <hyperlink ref="G43" r:id="rId18" display="policy and procedures"/>
  </hyperlinks>
  <pageMargins left="0.25" right="0.25" top="0.75" bottom="0.75" header="0.3" footer="0.3"/>
  <pageSetup paperSize="9" scale="94" orientation="portrait" r:id="rId19"/>
  <rowBreaks count="2" manualBreakCount="2">
    <brk id="63" max="12" man="1"/>
    <brk id="124" max="16383" man="1"/>
  </rowBreaks>
  <drawing r:id="rId2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A90"/>
  <sheetViews>
    <sheetView showGridLines="0" topLeftCell="A3" zoomScaleNormal="100" workbookViewId="0">
      <pane xSplit="3" ySplit="5" topLeftCell="D8" activePane="bottomRight" state="frozen"/>
      <selection activeCell="A66" sqref="A55:K66"/>
      <selection pane="topRight" activeCell="A66" sqref="A55:K66"/>
      <selection pane="bottomLeft" activeCell="A66" sqref="A55:K66"/>
      <selection pane="bottomRight" activeCell="D8" sqref="D8"/>
    </sheetView>
  </sheetViews>
  <sheetFormatPr defaultColWidth="8.85546875" defaultRowHeight="12.75" customHeight="1" x14ac:dyDescent="0.3"/>
  <cols>
    <col min="1" max="1" width="7.42578125" style="131" customWidth="1"/>
    <col min="2" max="3" width="4.85546875" style="131" customWidth="1"/>
    <col min="4" max="4" width="12.7109375" style="172" customWidth="1"/>
    <col min="5" max="5" width="3.85546875" style="174" customWidth="1"/>
    <col min="6" max="6" width="11.7109375" style="172" customWidth="1"/>
    <col min="7" max="7" width="3.85546875" style="174" customWidth="1"/>
    <col min="8" max="8" width="11.28515625" style="172" customWidth="1"/>
    <col min="9" max="9" width="3.85546875" style="174" customWidth="1"/>
    <col min="10" max="10" width="14" style="173" bestFit="1" customWidth="1"/>
    <col min="11" max="11" width="3.85546875" style="174" customWidth="1"/>
    <col min="12" max="12" width="12.28515625" style="173" bestFit="1" customWidth="1"/>
    <col min="13" max="13" width="3.85546875" style="174" customWidth="1"/>
    <col min="14" max="14" width="12.140625" style="172" bestFit="1" customWidth="1"/>
    <col min="15" max="15" width="3.85546875" style="174" customWidth="1"/>
    <col min="16" max="16" width="8.85546875" style="134"/>
    <col min="17" max="17" width="10.28515625" style="134" bestFit="1" customWidth="1"/>
    <col min="18" max="16384" width="8.85546875" style="134"/>
  </cols>
  <sheetData>
    <row r="1" spans="1:15" ht="12.75" hidden="1" customHeight="1" x14ac:dyDescent="0.3"/>
    <row r="2" spans="1:15" ht="12.75" hidden="1" customHeight="1" x14ac:dyDescent="0.3"/>
    <row r="3" spans="1:15" ht="12.75" customHeight="1" x14ac:dyDescent="0.3">
      <c r="B3" s="132"/>
      <c r="C3" s="132"/>
      <c r="D3" s="132"/>
      <c r="E3" s="133"/>
      <c r="F3" s="132"/>
      <c r="G3" s="133"/>
      <c r="H3" s="132"/>
      <c r="I3" s="133"/>
      <c r="J3" s="132"/>
      <c r="K3" s="133"/>
      <c r="L3" s="132"/>
      <c r="M3" s="133"/>
      <c r="N3" s="132"/>
      <c r="O3" s="133"/>
    </row>
    <row r="4" spans="1:15" s="136" customFormat="1" ht="31.5" customHeight="1" x14ac:dyDescent="0.3">
      <c r="A4" s="192" t="s">
        <v>159</v>
      </c>
      <c r="B4" s="191"/>
      <c r="C4" s="191"/>
      <c r="D4" s="135" t="s">
        <v>410</v>
      </c>
      <c r="E4" s="133"/>
      <c r="F4" s="132"/>
      <c r="G4" s="133"/>
      <c r="H4" s="132"/>
      <c r="I4" s="133"/>
      <c r="J4" s="132"/>
      <c r="K4" s="133"/>
      <c r="L4" s="132"/>
      <c r="M4" s="133"/>
      <c r="N4" s="132"/>
      <c r="O4" s="133"/>
    </row>
    <row r="5" spans="1:15" s="136" customFormat="1" ht="17.25" x14ac:dyDescent="0.3">
      <c r="A5" s="190" t="s">
        <v>154</v>
      </c>
      <c r="B5" s="187"/>
      <c r="C5" s="187"/>
      <c r="D5" s="188" t="s">
        <v>156</v>
      </c>
      <c r="E5" s="283"/>
      <c r="F5" s="188"/>
      <c r="G5" s="283"/>
      <c r="H5" s="188"/>
      <c r="I5" s="283"/>
      <c r="J5" s="188"/>
      <c r="K5" s="283"/>
      <c r="L5" s="188"/>
      <c r="M5" s="283"/>
      <c r="N5" s="188"/>
      <c r="O5" s="133"/>
    </row>
    <row r="6" spans="1:15" ht="10.5" customHeight="1" thickBot="1" x14ac:dyDescent="0.35">
      <c r="A6" s="137"/>
      <c r="B6" s="137"/>
      <c r="C6" s="137"/>
      <c r="D6" s="137"/>
      <c r="E6" s="215"/>
      <c r="F6" s="137"/>
      <c r="G6" s="215"/>
      <c r="H6" s="137"/>
      <c r="I6" s="215"/>
      <c r="J6" s="337"/>
      <c r="K6" s="337"/>
      <c r="L6" s="337"/>
      <c r="M6" s="337"/>
      <c r="N6" s="337"/>
      <c r="O6" s="337"/>
    </row>
    <row r="7" spans="1:15" s="141" customFormat="1" ht="60" customHeight="1" thickBot="1" x14ac:dyDescent="0.35">
      <c r="A7" s="227"/>
      <c r="B7" s="228" t="s">
        <v>140</v>
      </c>
      <c r="C7" s="228"/>
      <c r="D7" s="338" t="s">
        <v>477</v>
      </c>
      <c r="E7" s="338"/>
      <c r="F7" s="341" t="s">
        <v>478</v>
      </c>
      <c r="G7" s="341"/>
      <c r="H7" s="341" t="s">
        <v>479</v>
      </c>
      <c r="I7" s="341"/>
      <c r="J7" s="341" t="s">
        <v>408</v>
      </c>
      <c r="K7" s="341"/>
      <c r="L7" s="341" t="s">
        <v>420</v>
      </c>
      <c r="M7" s="341"/>
      <c r="N7" s="341" t="s">
        <v>419</v>
      </c>
      <c r="O7" s="341"/>
    </row>
    <row r="8" spans="1:15" s="146" customFormat="1" ht="15" x14ac:dyDescent="0.25">
      <c r="A8" s="143">
        <v>2007</v>
      </c>
      <c r="B8" s="143"/>
      <c r="C8" s="213"/>
      <c r="D8" s="144">
        <v>15866</v>
      </c>
      <c r="E8" s="145" t="s">
        <v>508</v>
      </c>
      <c r="F8" s="144">
        <v>5165</v>
      </c>
      <c r="G8" s="145" t="s">
        <v>508</v>
      </c>
      <c r="H8" s="144">
        <v>7625</v>
      </c>
      <c r="I8" s="145" t="s">
        <v>508</v>
      </c>
      <c r="J8" s="144">
        <v>2531.0000000000014</v>
      </c>
      <c r="K8" s="145" t="s">
        <v>508</v>
      </c>
      <c r="L8" s="144">
        <v>417</v>
      </c>
      <c r="M8" s="145" t="s">
        <v>508</v>
      </c>
      <c r="N8" s="144">
        <v>128</v>
      </c>
      <c r="O8" s="145" t="s">
        <v>508</v>
      </c>
    </row>
    <row r="9" spans="1:15" s="146" customFormat="1" ht="12.75" customHeight="1" x14ac:dyDescent="0.25">
      <c r="A9" s="143">
        <v>2008</v>
      </c>
      <c r="B9" s="143"/>
      <c r="C9" s="213"/>
      <c r="D9" s="144">
        <v>21072</v>
      </c>
      <c r="E9" s="145" t="s">
        <v>508</v>
      </c>
      <c r="F9" s="144">
        <v>5494</v>
      </c>
      <c r="G9" s="145" t="s">
        <v>508</v>
      </c>
      <c r="H9" s="144">
        <v>9995</v>
      </c>
      <c r="I9" s="145" t="s">
        <v>508</v>
      </c>
      <c r="J9" s="144">
        <v>4808.0000000000009</v>
      </c>
      <c r="K9" s="145" t="s">
        <v>508</v>
      </c>
      <c r="L9" s="144">
        <v>586</v>
      </c>
      <c r="M9" s="145" t="s">
        <v>508</v>
      </c>
      <c r="N9" s="144">
        <v>189</v>
      </c>
      <c r="O9" s="145" t="s">
        <v>508</v>
      </c>
    </row>
    <row r="10" spans="1:15" s="146" customFormat="1" ht="12.75" customHeight="1" x14ac:dyDescent="0.25">
      <c r="A10" s="143">
        <v>2009</v>
      </c>
      <c r="B10" s="143"/>
      <c r="C10" s="213"/>
      <c r="D10" s="144">
        <v>24010.999999999985</v>
      </c>
      <c r="E10" s="145" t="s">
        <v>508</v>
      </c>
      <c r="F10" s="144">
        <v>5643</v>
      </c>
      <c r="G10" s="145" t="s">
        <v>508</v>
      </c>
      <c r="H10" s="144">
        <v>13508.999999999991</v>
      </c>
      <c r="I10" s="145" t="s">
        <v>508</v>
      </c>
      <c r="J10" s="144">
        <v>4018.9999999999941</v>
      </c>
      <c r="K10" s="145" t="s">
        <v>508</v>
      </c>
      <c r="L10" s="144">
        <v>723</v>
      </c>
      <c r="M10" s="145" t="s">
        <v>508</v>
      </c>
      <c r="N10" s="144">
        <v>117</v>
      </c>
      <c r="O10" s="145" t="s">
        <v>508</v>
      </c>
    </row>
    <row r="11" spans="1:15" s="146" customFormat="1" ht="12.75" customHeight="1" x14ac:dyDescent="0.25">
      <c r="A11" s="143">
        <v>2010</v>
      </c>
      <c r="B11" s="143"/>
      <c r="C11" s="213"/>
      <c r="D11" s="144">
        <v>19795.999999999989</v>
      </c>
      <c r="E11" s="145" t="s">
        <v>508</v>
      </c>
      <c r="F11" s="144">
        <v>4792</v>
      </c>
      <c r="G11" s="145" t="s">
        <v>508</v>
      </c>
      <c r="H11" s="144">
        <v>11506.999999999991</v>
      </c>
      <c r="I11" s="145" t="s">
        <v>508</v>
      </c>
      <c r="J11" s="144">
        <v>2682</v>
      </c>
      <c r="K11" s="145" t="s">
        <v>508</v>
      </c>
      <c r="L11" s="144">
        <v>766</v>
      </c>
      <c r="M11" s="145" t="s">
        <v>508</v>
      </c>
      <c r="N11" s="144">
        <v>49</v>
      </c>
      <c r="O11" s="145" t="s">
        <v>508</v>
      </c>
    </row>
    <row r="12" spans="1:15" s="146" customFormat="1" ht="12.75" customHeight="1" x14ac:dyDescent="0.25">
      <c r="A12" s="143">
        <v>2011</v>
      </c>
      <c r="B12" s="143"/>
      <c r="C12" s="213"/>
      <c r="D12" s="144">
        <v>20284.999999999996</v>
      </c>
      <c r="E12" s="145" t="s">
        <v>508</v>
      </c>
      <c r="F12" s="144">
        <v>5003</v>
      </c>
      <c r="G12" s="145" t="s">
        <v>508</v>
      </c>
      <c r="H12" s="144">
        <v>11946.999999999998</v>
      </c>
      <c r="I12" s="145" t="s">
        <v>508</v>
      </c>
      <c r="J12" s="144">
        <v>2539</v>
      </c>
      <c r="K12" s="145" t="s">
        <v>508</v>
      </c>
      <c r="L12" s="144">
        <v>748</v>
      </c>
      <c r="M12" s="145" t="s">
        <v>508</v>
      </c>
      <c r="N12" s="144">
        <v>48</v>
      </c>
      <c r="O12" s="145" t="s">
        <v>508</v>
      </c>
    </row>
    <row r="13" spans="1:15" s="146" customFormat="1" ht="12.75" customHeight="1" x14ac:dyDescent="0.25">
      <c r="A13" s="143">
        <v>2012</v>
      </c>
      <c r="B13" s="143"/>
      <c r="C13" s="213"/>
      <c r="D13" s="144">
        <v>19349</v>
      </c>
      <c r="E13" s="145" t="s">
        <v>508</v>
      </c>
      <c r="F13" s="144">
        <v>4261</v>
      </c>
      <c r="G13" s="145" t="s">
        <v>508</v>
      </c>
      <c r="H13" s="144">
        <v>11906</v>
      </c>
      <c r="I13" s="145" t="s">
        <v>508</v>
      </c>
      <c r="J13" s="144">
        <v>2334</v>
      </c>
      <c r="K13" s="145" t="s">
        <v>508</v>
      </c>
      <c r="L13" s="144">
        <v>816</v>
      </c>
      <c r="M13" s="145" t="s">
        <v>508</v>
      </c>
      <c r="N13" s="144">
        <v>32</v>
      </c>
      <c r="O13" s="145" t="s">
        <v>508</v>
      </c>
    </row>
    <row r="14" spans="1:15" s="146" customFormat="1" ht="12.75" customHeight="1" x14ac:dyDescent="0.25">
      <c r="A14" s="143">
        <v>2013</v>
      </c>
      <c r="B14" s="143"/>
      <c r="C14" s="213"/>
      <c r="D14" s="144">
        <v>17681.999999999993</v>
      </c>
      <c r="E14" s="145" t="s">
        <v>508</v>
      </c>
      <c r="F14" s="144">
        <v>3632</v>
      </c>
      <c r="G14" s="145" t="s">
        <v>508</v>
      </c>
      <c r="H14" s="144">
        <v>11452.999999999991</v>
      </c>
      <c r="I14" s="145" t="s">
        <v>508</v>
      </c>
      <c r="J14" s="144">
        <v>2009.0000000000011</v>
      </c>
      <c r="K14" s="145" t="s">
        <v>508</v>
      </c>
      <c r="L14" s="144">
        <v>571</v>
      </c>
      <c r="M14" s="145" t="s">
        <v>508</v>
      </c>
      <c r="N14" s="144">
        <v>17</v>
      </c>
      <c r="O14" s="145" t="s">
        <v>508</v>
      </c>
    </row>
    <row r="15" spans="1:15" s="146" customFormat="1" ht="12.75" customHeight="1" x14ac:dyDescent="0.25">
      <c r="A15" s="143">
        <v>2014</v>
      </c>
      <c r="B15" s="143"/>
      <c r="C15" s="213"/>
      <c r="D15" s="144">
        <v>16319</v>
      </c>
      <c r="E15" s="145" t="s">
        <v>508</v>
      </c>
      <c r="F15" s="144">
        <v>3755</v>
      </c>
      <c r="G15" s="145" t="s">
        <v>508</v>
      </c>
      <c r="H15" s="144">
        <v>10401</v>
      </c>
      <c r="I15" s="145" t="s">
        <v>508</v>
      </c>
      <c r="J15" s="144">
        <v>1587.0000000000002</v>
      </c>
      <c r="K15" s="145" t="s">
        <v>508</v>
      </c>
      <c r="L15" s="144">
        <v>554</v>
      </c>
      <c r="M15" s="145" t="s">
        <v>508</v>
      </c>
      <c r="N15" s="144">
        <v>22</v>
      </c>
      <c r="O15" s="145" t="s">
        <v>508</v>
      </c>
    </row>
    <row r="16" spans="1:15" s="146" customFormat="1" ht="12.75" customHeight="1" x14ac:dyDescent="0.25">
      <c r="A16" s="143">
        <v>2015</v>
      </c>
      <c r="B16" s="143"/>
      <c r="C16" s="213"/>
      <c r="D16" s="144">
        <v>14657.000000000011</v>
      </c>
      <c r="E16" s="145" t="s">
        <v>508</v>
      </c>
      <c r="F16" s="144">
        <v>2889</v>
      </c>
      <c r="G16" s="145" t="s">
        <v>508</v>
      </c>
      <c r="H16" s="144">
        <v>9992.0000000000109</v>
      </c>
      <c r="I16" s="145" t="s">
        <v>508</v>
      </c>
      <c r="J16" s="144">
        <v>1402</v>
      </c>
      <c r="K16" s="145" t="s">
        <v>508</v>
      </c>
      <c r="L16" s="144">
        <v>363</v>
      </c>
      <c r="M16" s="145" t="s">
        <v>508</v>
      </c>
      <c r="N16" s="144">
        <v>11</v>
      </c>
      <c r="O16" s="145" t="s">
        <v>508</v>
      </c>
    </row>
    <row r="17" spans="1:15" s="146" customFormat="1" ht="12.75" customHeight="1" x14ac:dyDescent="0.25">
      <c r="A17" s="143">
        <v>2016</v>
      </c>
      <c r="B17" s="213" t="s">
        <v>508</v>
      </c>
      <c r="D17" s="144">
        <v>16532</v>
      </c>
      <c r="E17" s="145" t="s">
        <v>280</v>
      </c>
      <c r="F17" s="144">
        <v>2919</v>
      </c>
      <c r="G17" s="145" t="s">
        <v>280</v>
      </c>
      <c r="H17" s="144">
        <v>11890</v>
      </c>
      <c r="I17" s="145" t="s">
        <v>280</v>
      </c>
      <c r="J17" s="144">
        <v>1373.9999999999991</v>
      </c>
      <c r="K17" s="145" t="s">
        <v>280</v>
      </c>
      <c r="L17" s="144">
        <v>344</v>
      </c>
      <c r="M17" s="145" t="s">
        <v>280</v>
      </c>
      <c r="N17" s="144">
        <v>5</v>
      </c>
      <c r="O17" s="145" t="s">
        <v>508</v>
      </c>
    </row>
    <row r="18" spans="1:15" s="142" customFormat="1" ht="12.75" customHeight="1" x14ac:dyDescent="0.25">
      <c r="A18" s="148"/>
      <c r="B18" s="148"/>
      <c r="C18" s="218"/>
      <c r="D18" s="149"/>
      <c r="E18" s="154"/>
      <c r="F18" s="149"/>
      <c r="G18" s="154"/>
      <c r="H18" s="149"/>
      <c r="I18" s="154"/>
      <c r="J18" s="149"/>
      <c r="K18" s="154"/>
      <c r="L18" s="149"/>
      <c r="M18" s="154"/>
      <c r="N18" s="149"/>
      <c r="O18" s="154"/>
    </row>
    <row r="19" spans="1:15" s="142" customFormat="1" ht="12.75" customHeight="1" x14ac:dyDescent="0.25">
      <c r="A19" s="151">
        <v>2007</v>
      </c>
      <c r="B19" s="152" t="s">
        <v>1</v>
      </c>
      <c r="C19" s="219"/>
      <c r="D19" s="153">
        <v>3927.3292079661819</v>
      </c>
      <c r="E19" s="154" t="s">
        <v>508</v>
      </c>
      <c r="F19" s="153">
        <v>1384</v>
      </c>
      <c r="G19" s="154" t="s">
        <v>508</v>
      </c>
      <c r="H19" s="153">
        <v>1796.39904602973</v>
      </c>
      <c r="I19" s="154" t="s">
        <v>508</v>
      </c>
      <c r="J19" s="153">
        <v>621.93016193645201</v>
      </c>
      <c r="K19" s="154" t="s">
        <v>508</v>
      </c>
      <c r="L19" s="153">
        <v>95</v>
      </c>
      <c r="M19" s="154" t="s">
        <v>508</v>
      </c>
      <c r="N19" s="153">
        <v>30</v>
      </c>
      <c r="O19" s="154" t="s">
        <v>508</v>
      </c>
    </row>
    <row r="20" spans="1:15" s="142" customFormat="1" ht="12.75" customHeight="1" x14ac:dyDescent="0.25">
      <c r="A20" s="151"/>
      <c r="B20" s="152" t="s">
        <v>2</v>
      </c>
      <c r="C20" s="219"/>
      <c r="D20" s="153">
        <v>3988.248950747532</v>
      </c>
      <c r="E20" s="154" t="s">
        <v>508</v>
      </c>
      <c r="F20" s="153">
        <v>1399</v>
      </c>
      <c r="G20" s="154" t="s">
        <v>508</v>
      </c>
      <c r="H20" s="153">
        <v>1851.70525745496</v>
      </c>
      <c r="I20" s="154" t="s">
        <v>508</v>
      </c>
      <c r="J20" s="153">
        <v>599.54369329257202</v>
      </c>
      <c r="K20" s="154" t="s">
        <v>508</v>
      </c>
      <c r="L20" s="153">
        <v>103</v>
      </c>
      <c r="M20" s="154" t="s">
        <v>508</v>
      </c>
      <c r="N20" s="153">
        <v>35</v>
      </c>
      <c r="O20" s="154" t="s">
        <v>508</v>
      </c>
    </row>
    <row r="21" spans="1:15" s="142" customFormat="1" ht="12.75" customHeight="1" x14ac:dyDescent="0.25">
      <c r="A21" s="151"/>
      <c r="B21" s="152" t="s">
        <v>3</v>
      </c>
      <c r="C21" s="219"/>
      <c r="D21" s="153">
        <v>4019.2578855768734</v>
      </c>
      <c r="E21" s="154" t="s">
        <v>508</v>
      </c>
      <c r="F21" s="153">
        <v>1234</v>
      </c>
      <c r="G21" s="154" t="s">
        <v>508</v>
      </c>
      <c r="H21" s="153">
        <v>1966.6488112544901</v>
      </c>
      <c r="I21" s="154" t="s">
        <v>508</v>
      </c>
      <c r="J21" s="153">
        <v>672.60907432238298</v>
      </c>
      <c r="K21" s="154" t="s">
        <v>508</v>
      </c>
      <c r="L21" s="153">
        <v>120</v>
      </c>
      <c r="M21" s="154" t="s">
        <v>508</v>
      </c>
      <c r="N21" s="153">
        <v>26</v>
      </c>
      <c r="O21" s="154" t="s">
        <v>508</v>
      </c>
    </row>
    <row r="22" spans="1:15" s="142" customFormat="1" ht="12.75" customHeight="1" x14ac:dyDescent="0.25">
      <c r="A22" s="151"/>
      <c r="B22" s="152" t="s">
        <v>4</v>
      </c>
      <c r="C22" s="219"/>
      <c r="D22" s="153">
        <v>3931.163955709414</v>
      </c>
      <c r="E22" s="154" t="s">
        <v>508</v>
      </c>
      <c r="F22" s="153">
        <v>1148</v>
      </c>
      <c r="G22" s="154" t="s">
        <v>508</v>
      </c>
      <c r="H22" s="153">
        <v>2010.2468852608199</v>
      </c>
      <c r="I22" s="154" t="s">
        <v>508</v>
      </c>
      <c r="J22" s="153">
        <v>636.91707044859402</v>
      </c>
      <c r="K22" s="154" t="s">
        <v>508</v>
      </c>
      <c r="L22" s="153">
        <v>99</v>
      </c>
      <c r="M22" s="154" t="s">
        <v>508</v>
      </c>
      <c r="N22" s="153">
        <v>37</v>
      </c>
      <c r="O22" s="154" t="s">
        <v>508</v>
      </c>
    </row>
    <row r="23" spans="1:15" s="142" customFormat="1" ht="12.75" customHeight="1" x14ac:dyDescent="0.25">
      <c r="A23" s="151"/>
      <c r="B23" s="152"/>
      <c r="C23" s="219"/>
      <c r="D23" s="153"/>
      <c r="E23" s="154"/>
      <c r="F23" s="153"/>
      <c r="G23" s="154"/>
      <c r="H23" s="153"/>
      <c r="I23" s="154"/>
      <c r="J23" s="153"/>
      <c r="K23" s="154"/>
      <c r="L23" s="153"/>
      <c r="M23" s="154"/>
      <c r="N23" s="153"/>
      <c r="O23" s="154"/>
    </row>
    <row r="24" spans="1:15" s="142" customFormat="1" ht="12.75" customHeight="1" x14ac:dyDescent="0.25">
      <c r="A24" s="151">
        <v>2008</v>
      </c>
      <c r="B24" s="152" t="s">
        <v>1</v>
      </c>
      <c r="C24" s="219"/>
      <c r="D24" s="153">
        <v>4183.9113050488086</v>
      </c>
      <c r="E24" s="154" t="s">
        <v>508</v>
      </c>
      <c r="F24" s="153">
        <v>1080</v>
      </c>
      <c r="G24" s="154" t="s">
        <v>508</v>
      </c>
      <c r="H24" s="153">
        <v>2140.3285408519801</v>
      </c>
      <c r="I24" s="154" t="s">
        <v>508</v>
      </c>
      <c r="J24" s="153">
        <v>800.58276419682898</v>
      </c>
      <c r="K24" s="154" t="s">
        <v>508</v>
      </c>
      <c r="L24" s="153">
        <v>134</v>
      </c>
      <c r="M24" s="154" t="s">
        <v>508</v>
      </c>
      <c r="N24" s="153">
        <v>29</v>
      </c>
      <c r="O24" s="154" t="s">
        <v>508</v>
      </c>
    </row>
    <row r="25" spans="1:15" s="142" customFormat="1" ht="12.75" customHeight="1" x14ac:dyDescent="0.25">
      <c r="A25" s="151"/>
      <c r="B25" s="152" t="s">
        <v>2</v>
      </c>
      <c r="C25" s="219"/>
      <c r="D25" s="153">
        <v>4592.1935127892921</v>
      </c>
      <c r="E25" s="154" t="s">
        <v>508</v>
      </c>
      <c r="F25" s="153">
        <v>1410</v>
      </c>
      <c r="G25" s="154" t="s">
        <v>508</v>
      </c>
      <c r="H25" s="153">
        <v>2088.6638786825001</v>
      </c>
      <c r="I25" s="154" t="s">
        <v>508</v>
      </c>
      <c r="J25" s="153">
        <v>945.52963410679195</v>
      </c>
      <c r="K25" s="154" t="s">
        <v>508</v>
      </c>
      <c r="L25" s="153">
        <v>123</v>
      </c>
      <c r="M25" s="154" t="s">
        <v>508</v>
      </c>
      <c r="N25" s="153">
        <v>25</v>
      </c>
      <c r="O25" s="154" t="s">
        <v>508</v>
      </c>
    </row>
    <row r="26" spans="1:15" s="142" customFormat="1" ht="12.75" customHeight="1" x14ac:dyDescent="0.25">
      <c r="A26" s="151"/>
      <c r="B26" s="152" t="s">
        <v>3</v>
      </c>
      <c r="C26" s="219"/>
      <c r="D26" s="153">
        <v>6181.2207360093198</v>
      </c>
      <c r="E26" s="154" t="s">
        <v>508</v>
      </c>
      <c r="F26" s="153">
        <v>1467</v>
      </c>
      <c r="G26" s="154" t="s">
        <v>508</v>
      </c>
      <c r="H26" s="153">
        <v>2673.2391437912902</v>
      </c>
      <c r="I26" s="154" t="s">
        <v>508</v>
      </c>
      <c r="J26" s="153">
        <v>1774.9815922180301</v>
      </c>
      <c r="K26" s="154" t="s">
        <v>508</v>
      </c>
      <c r="L26" s="153">
        <v>179</v>
      </c>
      <c r="M26" s="154" t="s">
        <v>508</v>
      </c>
      <c r="N26" s="153">
        <v>87</v>
      </c>
      <c r="O26" s="154" t="s">
        <v>508</v>
      </c>
    </row>
    <row r="27" spans="1:15" s="142" customFormat="1" ht="12.75" customHeight="1" x14ac:dyDescent="0.25">
      <c r="A27" s="151"/>
      <c r="B27" s="152" t="s">
        <v>4</v>
      </c>
      <c r="C27" s="219"/>
      <c r="D27" s="153">
        <v>6114.6744461525805</v>
      </c>
      <c r="E27" s="154" t="s">
        <v>508</v>
      </c>
      <c r="F27" s="153">
        <v>1537</v>
      </c>
      <c r="G27" s="154" t="s">
        <v>508</v>
      </c>
      <c r="H27" s="153">
        <v>3092.7684366742301</v>
      </c>
      <c r="I27" s="154" t="s">
        <v>508</v>
      </c>
      <c r="J27" s="153">
        <v>1286.9060094783499</v>
      </c>
      <c r="K27" s="154" t="s">
        <v>508</v>
      </c>
      <c r="L27" s="153">
        <v>150</v>
      </c>
      <c r="M27" s="154" t="s">
        <v>508</v>
      </c>
      <c r="N27" s="153">
        <v>48</v>
      </c>
      <c r="O27" s="154" t="s">
        <v>508</v>
      </c>
    </row>
    <row r="28" spans="1:15" s="142" customFormat="1" ht="12.75" customHeight="1" x14ac:dyDescent="0.25">
      <c r="A28" s="151"/>
      <c r="B28" s="152"/>
      <c r="C28" s="219"/>
      <c r="D28" s="153"/>
      <c r="E28" s="154"/>
      <c r="F28" s="153"/>
      <c r="G28" s="154"/>
      <c r="H28" s="153"/>
      <c r="I28" s="154"/>
      <c r="J28" s="153"/>
      <c r="K28" s="154"/>
      <c r="L28" s="153"/>
      <c r="M28" s="154"/>
      <c r="N28" s="153"/>
      <c r="O28" s="154"/>
    </row>
    <row r="29" spans="1:15" s="142" customFormat="1" ht="12.75" customHeight="1" x14ac:dyDescent="0.25">
      <c r="A29" s="151">
        <v>2009</v>
      </c>
      <c r="B29" s="152" t="s">
        <v>1</v>
      </c>
      <c r="C29" s="219"/>
      <c r="D29" s="153">
        <v>6424.1555512354698</v>
      </c>
      <c r="E29" s="154" t="s">
        <v>508</v>
      </c>
      <c r="F29" s="153">
        <v>1555</v>
      </c>
      <c r="G29" s="154" t="s">
        <v>508</v>
      </c>
      <c r="H29" s="153">
        <v>3448.48597335047</v>
      </c>
      <c r="I29" s="154" t="s">
        <v>508</v>
      </c>
      <c r="J29" s="153">
        <v>1233.6695778850001</v>
      </c>
      <c r="K29" s="154" t="s">
        <v>508</v>
      </c>
      <c r="L29" s="153">
        <v>161</v>
      </c>
      <c r="M29" s="154" t="s">
        <v>508</v>
      </c>
      <c r="N29" s="153">
        <v>26</v>
      </c>
      <c r="O29" s="154" t="s">
        <v>508</v>
      </c>
    </row>
    <row r="30" spans="1:15" s="142" customFormat="1" ht="12.75" customHeight="1" x14ac:dyDescent="0.25">
      <c r="A30" s="151"/>
      <c r="B30" s="152" t="s">
        <v>2</v>
      </c>
      <c r="C30" s="219"/>
      <c r="D30" s="153">
        <v>6291.2592925106801</v>
      </c>
      <c r="E30" s="154" t="s">
        <v>508</v>
      </c>
      <c r="F30" s="153">
        <v>1520</v>
      </c>
      <c r="G30" s="154" t="s">
        <v>508</v>
      </c>
      <c r="H30" s="153">
        <v>3560.4534981992301</v>
      </c>
      <c r="I30" s="154" t="s">
        <v>508</v>
      </c>
      <c r="J30" s="153">
        <v>1025.80579431145</v>
      </c>
      <c r="K30" s="154" t="s">
        <v>508</v>
      </c>
      <c r="L30" s="153">
        <v>141</v>
      </c>
      <c r="M30" s="154" t="s">
        <v>508</v>
      </c>
      <c r="N30" s="153">
        <v>44</v>
      </c>
      <c r="O30" s="154" t="s">
        <v>508</v>
      </c>
    </row>
    <row r="31" spans="1:15" s="142" customFormat="1" ht="12.75" customHeight="1" x14ac:dyDescent="0.25">
      <c r="A31" s="151"/>
      <c r="B31" s="152" t="s">
        <v>3</v>
      </c>
      <c r="C31" s="219"/>
      <c r="D31" s="153">
        <v>5781.0684674724071</v>
      </c>
      <c r="E31" s="154" t="s">
        <v>508</v>
      </c>
      <c r="F31" s="153">
        <v>1253</v>
      </c>
      <c r="G31" s="154" t="s">
        <v>508</v>
      </c>
      <c r="H31" s="153">
        <v>3353.4883417323099</v>
      </c>
      <c r="I31" s="154" t="s">
        <v>508</v>
      </c>
      <c r="J31" s="153">
        <v>954.58012574009695</v>
      </c>
      <c r="K31" s="154" t="s">
        <v>508</v>
      </c>
      <c r="L31" s="153">
        <v>203</v>
      </c>
      <c r="M31" s="154" t="s">
        <v>508</v>
      </c>
      <c r="N31" s="153">
        <v>17</v>
      </c>
      <c r="O31" s="154" t="s">
        <v>508</v>
      </c>
    </row>
    <row r="32" spans="1:15" s="142" customFormat="1" ht="12.75" customHeight="1" x14ac:dyDescent="0.25">
      <c r="A32" s="151"/>
      <c r="B32" s="152" t="s">
        <v>4</v>
      </c>
      <c r="C32" s="219"/>
      <c r="D32" s="153">
        <v>5514.5166887814266</v>
      </c>
      <c r="E32" s="154" t="s">
        <v>508</v>
      </c>
      <c r="F32" s="153">
        <v>1315</v>
      </c>
      <c r="G32" s="154" t="s">
        <v>508</v>
      </c>
      <c r="H32" s="153">
        <v>3146.57218671798</v>
      </c>
      <c r="I32" s="154" t="s">
        <v>508</v>
      </c>
      <c r="J32" s="153">
        <v>804.94450206344698</v>
      </c>
      <c r="K32" s="154" t="s">
        <v>508</v>
      </c>
      <c r="L32" s="153">
        <v>218</v>
      </c>
      <c r="M32" s="154" t="s">
        <v>508</v>
      </c>
      <c r="N32" s="153">
        <v>30</v>
      </c>
      <c r="O32" s="154" t="s">
        <v>508</v>
      </c>
    </row>
    <row r="33" spans="1:15" s="142" customFormat="1" ht="12.75" customHeight="1" x14ac:dyDescent="0.25">
      <c r="A33" s="151"/>
      <c r="B33" s="152"/>
      <c r="C33" s="219"/>
      <c r="D33" s="153"/>
      <c r="E33" s="154"/>
      <c r="F33" s="153"/>
      <c r="G33" s="154"/>
      <c r="H33" s="153"/>
      <c r="I33" s="154"/>
      <c r="J33" s="153"/>
      <c r="K33" s="154"/>
      <c r="L33" s="153"/>
      <c r="M33" s="154"/>
      <c r="N33" s="153"/>
      <c r="O33" s="154"/>
    </row>
    <row r="34" spans="1:15" s="142" customFormat="1" ht="12.75" customHeight="1" x14ac:dyDescent="0.25">
      <c r="A34" s="151">
        <v>2010</v>
      </c>
      <c r="B34" s="152" t="s">
        <v>1</v>
      </c>
      <c r="C34" s="219"/>
      <c r="D34" s="153">
        <v>5149.7371242929876</v>
      </c>
      <c r="E34" s="154" t="s">
        <v>508</v>
      </c>
      <c r="F34" s="153">
        <v>1330</v>
      </c>
      <c r="G34" s="154" t="s">
        <v>508</v>
      </c>
      <c r="H34" s="153">
        <v>2899.1192601831099</v>
      </c>
      <c r="I34" s="154" t="s">
        <v>508</v>
      </c>
      <c r="J34" s="153">
        <v>697.61786410987804</v>
      </c>
      <c r="K34" s="154" t="s">
        <v>508</v>
      </c>
      <c r="L34" s="153">
        <v>209</v>
      </c>
      <c r="M34" s="154" t="s">
        <v>508</v>
      </c>
      <c r="N34" s="153">
        <v>14</v>
      </c>
      <c r="O34" s="154" t="s">
        <v>508</v>
      </c>
    </row>
    <row r="35" spans="1:15" s="142" customFormat="1" ht="12.75" customHeight="1" x14ac:dyDescent="0.25">
      <c r="A35" s="151"/>
      <c r="B35" s="152" t="s">
        <v>2</v>
      </c>
      <c r="C35" s="219"/>
      <c r="D35" s="153">
        <v>4976.3065673925375</v>
      </c>
      <c r="E35" s="154" t="s">
        <v>508</v>
      </c>
      <c r="F35" s="153">
        <v>1185</v>
      </c>
      <c r="G35" s="154" t="s">
        <v>508</v>
      </c>
      <c r="H35" s="153">
        <v>2860.54529764177</v>
      </c>
      <c r="I35" s="154" t="s">
        <v>508</v>
      </c>
      <c r="J35" s="153">
        <v>701.76126975076795</v>
      </c>
      <c r="K35" s="154" t="s">
        <v>508</v>
      </c>
      <c r="L35" s="153">
        <v>222</v>
      </c>
      <c r="M35" s="154" t="s">
        <v>508</v>
      </c>
      <c r="N35" s="153">
        <v>7</v>
      </c>
      <c r="O35" s="154" t="s">
        <v>508</v>
      </c>
    </row>
    <row r="36" spans="1:15" s="142" customFormat="1" ht="12.75" customHeight="1" x14ac:dyDescent="0.25">
      <c r="A36" s="151"/>
      <c r="B36" s="152" t="s">
        <v>3</v>
      </c>
      <c r="C36" s="219"/>
      <c r="D36" s="153">
        <v>4802.8050490215337</v>
      </c>
      <c r="E36" s="154" t="s">
        <v>508</v>
      </c>
      <c r="F36" s="153">
        <v>1082</v>
      </c>
      <c r="G36" s="154" t="s">
        <v>508</v>
      </c>
      <c r="H36" s="153">
        <v>2899.6973385742699</v>
      </c>
      <c r="I36" s="154" t="s">
        <v>508</v>
      </c>
      <c r="J36" s="153">
        <v>644.10771044726403</v>
      </c>
      <c r="K36" s="154" t="s">
        <v>508</v>
      </c>
      <c r="L36" s="153">
        <v>155</v>
      </c>
      <c r="M36" s="154" t="s">
        <v>508</v>
      </c>
      <c r="N36" s="153">
        <v>22</v>
      </c>
      <c r="O36" s="154" t="s">
        <v>508</v>
      </c>
    </row>
    <row r="37" spans="1:15" s="142" customFormat="1" ht="12.75" customHeight="1" x14ac:dyDescent="0.25">
      <c r="A37" s="151"/>
      <c r="B37" s="152" t="s">
        <v>4</v>
      </c>
      <c r="C37" s="219"/>
      <c r="D37" s="153">
        <v>4867.1512592929303</v>
      </c>
      <c r="E37" s="154" t="s">
        <v>508</v>
      </c>
      <c r="F37" s="153">
        <v>1195</v>
      </c>
      <c r="G37" s="154" t="s">
        <v>508</v>
      </c>
      <c r="H37" s="153">
        <v>2847.6381036008402</v>
      </c>
      <c r="I37" s="154" t="s">
        <v>508</v>
      </c>
      <c r="J37" s="153">
        <v>638.51315569208998</v>
      </c>
      <c r="K37" s="154" t="s">
        <v>508</v>
      </c>
      <c r="L37" s="153">
        <v>180</v>
      </c>
      <c r="M37" s="154" t="s">
        <v>508</v>
      </c>
      <c r="N37" s="153">
        <v>6</v>
      </c>
      <c r="O37" s="154" t="s">
        <v>508</v>
      </c>
    </row>
    <row r="38" spans="1:15" s="142" customFormat="1" ht="12.75" customHeight="1" x14ac:dyDescent="0.25">
      <c r="A38" s="151"/>
      <c r="B38" s="152"/>
      <c r="C38" s="219"/>
      <c r="D38" s="153"/>
      <c r="E38" s="154"/>
      <c r="F38" s="153"/>
      <c r="G38" s="154"/>
      <c r="H38" s="153"/>
      <c r="I38" s="154"/>
      <c r="J38" s="153"/>
      <c r="K38" s="154"/>
      <c r="L38" s="153"/>
      <c r="M38" s="154"/>
      <c r="N38" s="153"/>
      <c r="O38" s="154"/>
    </row>
    <row r="39" spans="1:15" s="142" customFormat="1" ht="12.75" customHeight="1" x14ac:dyDescent="0.25">
      <c r="A39" s="151">
        <v>2011</v>
      </c>
      <c r="B39" s="152" t="s">
        <v>1</v>
      </c>
      <c r="C39" s="219"/>
      <c r="D39" s="153">
        <v>4841.9126643316558</v>
      </c>
      <c r="E39" s="154" t="s">
        <v>508</v>
      </c>
      <c r="F39" s="153">
        <v>1111</v>
      </c>
      <c r="G39" s="154" t="s">
        <v>508</v>
      </c>
      <c r="H39" s="153">
        <v>2932.83081066044</v>
      </c>
      <c r="I39" s="154" t="s">
        <v>508</v>
      </c>
      <c r="J39" s="153">
        <v>626.08185367121598</v>
      </c>
      <c r="K39" s="154" t="s">
        <v>508</v>
      </c>
      <c r="L39" s="153">
        <v>164</v>
      </c>
      <c r="M39" s="154" t="s">
        <v>508</v>
      </c>
      <c r="N39" s="153">
        <v>8</v>
      </c>
      <c r="O39" s="154" t="s">
        <v>508</v>
      </c>
    </row>
    <row r="40" spans="1:15" s="142" customFormat="1" ht="12.75" customHeight="1" x14ac:dyDescent="0.25">
      <c r="A40" s="151"/>
      <c r="B40" s="152" t="s">
        <v>2</v>
      </c>
      <c r="C40" s="219"/>
      <c r="D40" s="153">
        <v>5216.5384542397815</v>
      </c>
      <c r="E40" s="154" t="s">
        <v>508</v>
      </c>
      <c r="F40" s="153">
        <v>1317</v>
      </c>
      <c r="G40" s="154" t="s">
        <v>508</v>
      </c>
      <c r="H40" s="153">
        <v>3042.0465732452799</v>
      </c>
      <c r="I40" s="154" t="s">
        <v>508</v>
      </c>
      <c r="J40" s="153">
        <v>665.49188099450203</v>
      </c>
      <c r="K40" s="154" t="s">
        <v>508</v>
      </c>
      <c r="L40" s="153">
        <v>183</v>
      </c>
      <c r="M40" s="154" t="s">
        <v>508</v>
      </c>
      <c r="N40" s="153">
        <v>9</v>
      </c>
      <c r="O40" s="154" t="s">
        <v>508</v>
      </c>
    </row>
    <row r="41" spans="1:15" s="142" customFormat="1" ht="12.75" customHeight="1" x14ac:dyDescent="0.25">
      <c r="A41" s="151"/>
      <c r="B41" s="152" t="s">
        <v>3</v>
      </c>
      <c r="C41" s="219"/>
      <c r="D41" s="153">
        <v>5058.1910181019848</v>
      </c>
      <c r="E41" s="154" t="s">
        <v>508</v>
      </c>
      <c r="F41" s="153">
        <v>1149</v>
      </c>
      <c r="G41" s="154" t="s">
        <v>508</v>
      </c>
      <c r="H41" s="153">
        <v>3044.3699728619199</v>
      </c>
      <c r="I41" s="154" t="s">
        <v>508</v>
      </c>
      <c r="J41" s="153">
        <v>642.82104524006502</v>
      </c>
      <c r="K41" s="154" t="s">
        <v>508</v>
      </c>
      <c r="L41" s="153">
        <v>209</v>
      </c>
      <c r="M41" s="154" t="s">
        <v>508</v>
      </c>
      <c r="N41" s="153">
        <v>13</v>
      </c>
      <c r="O41" s="154" t="s">
        <v>508</v>
      </c>
    </row>
    <row r="42" spans="1:15" s="142" customFormat="1" ht="12.75" customHeight="1" x14ac:dyDescent="0.25">
      <c r="A42" s="151"/>
      <c r="B42" s="152" t="s">
        <v>4</v>
      </c>
      <c r="C42" s="219"/>
      <c r="D42" s="153">
        <v>5168.3578633265761</v>
      </c>
      <c r="E42" s="154" t="s">
        <v>508</v>
      </c>
      <c r="F42" s="153">
        <v>1426</v>
      </c>
      <c r="G42" s="154" t="s">
        <v>508</v>
      </c>
      <c r="H42" s="153">
        <v>2927.7526432323598</v>
      </c>
      <c r="I42" s="154" t="s">
        <v>508</v>
      </c>
      <c r="J42" s="153">
        <v>604.60522009421697</v>
      </c>
      <c r="K42" s="154" t="s">
        <v>508</v>
      </c>
      <c r="L42" s="153">
        <v>192</v>
      </c>
      <c r="M42" s="154" t="s">
        <v>508</v>
      </c>
      <c r="N42" s="153">
        <v>18</v>
      </c>
      <c r="O42" s="154" t="s">
        <v>508</v>
      </c>
    </row>
    <row r="43" spans="1:15" s="142" customFormat="1" ht="12.75" customHeight="1" x14ac:dyDescent="0.25">
      <c r="A43" s="151"/>
      <c r="B43" s="152"/>
      <c r="C43" s="219"/>
      <c r="D43" s="153"/>
      <c r="E43" s="154"/>
      <c r="F43" s="153"/>
      <c r="G43" s="154"/>
      <c r="H43" s="153"/>
      <c r="I43" s="154"/>
      <c r="J43" s="153"/>
      <c r="K43" s="154"/>
      <c r="L43" s="153"/>
      <c r="M43" s="154"/>
      <c r="N43" s="153"/>
      <c r="O43" s="154"/>
    </row>
    <row r="44" spans="1:15" s="142" customFormat="1" ht="12.75" customHeight="1" x14ac:dyDescent="0.25">
      <c r="A44" s="151">
        <v>2012</v>
      </c>
      <c r="B44" s="152" t="s">
        <v>1</v>
      </c>
      <c r="C44" s="219"/>
      <c r="D44" s="153">
        <v>5215.5436029285893</v>
      </c>
      <c r="E44" s="154" t="s">
        <v>508</v>
      </c>
      <c r="F44" s="153">
        <v>1233</v>
      </c>
      <c r="G44" s="154" t="s">
        <v>508</v>
      </c>
      <c r="H44" s="153">
        <v>3100.9675504963702</v>
      </c>
      <c r="I44" s="154" t="s">
        <v>508</v>
      </c>
      <c r="J44" s="153">
        <v>694.57605243221894</v>
      </c>
      <c r="K44" s="154" t="s">
        <v>508</v>
      </c>
      <c r="L44" s="153">
        <v>176</v>
      </c>
      <c r="M44" s="154" t="s">
        <v>508</v>
      </c>
      <c r="N44" s="153">
        <v>11</v>
      </c>
      <c r="O44" s="154" t="s">
        <v>508</v>
      </c>
    </row>
    <row r="45" spans="1:15" s="142" customFormat="1" ht="12.75" customHeight="1" x14ac:dyDescent="0.25">
      <c r="A45" s="151"/>
      <c r="B45" s="152" t="s">
        <v>2</v>
      </c>
      <c r="C45" s="219"/>
      <c r="D45" s="153">
        <v>4949.7433108256828</v>
      </c>
      <c r="E45" s="154" t="s">
        <v>508</v>
      </c>
      <c r="F45" s="153">
        <v>1031</v>
      </c>
      <c r="G45" s="154" t="s">
        <v>508</v>
      </c>
      <c r="H45" s="153">
        <v>3006.3448184572399</v>
      </c>
      <c r="I45" s="154" t="s">
        <v>508</v>
      </c>
      <c r="J45" s="153">
        <v>579.39849236844304</v>
      </c>
      <c r="K45" s="154" t="s">
        <v>508</v>
      </c>
      <c r="L45" s="153">
        <v>325</v>
      </c>
      <c r="M45" s="154" t="s">
        <v>508</v>
      </c>
      <c r="N45" s="153">
        <v>8</v>
      </c>
      <c r="O45" s="154" t="s">
        <v>508</v>
      </c>
    </row>
    <row r="46" spans="1:15" s="142" customFormat="1" ht="12.75" customHeight="1" x14ac:dyDescent="0.25">
      <c r="A46" s="151"/>
      <c r="B46" s="152" t="s">
        <v>3</v>
      </c>
      <c r="C46" s="219"/>
      <c r="D46" s="153">
        <v>4707.9342987217424</v>
      </c>
      <c r="E46" s="154" t="s">
        <v>508</v>
      </c>
      <c r="F46" s="153">
        <v>1043</v>
      </c>
      <c r="G46" s="154" t="s">
        <v>508</v>
      </c>
      <c r="H46" s="153">
        <v>2949.61089295273</v>
      </c>
      <c r="I46" s="154" t="s">
        <v>508</v>
      </c>
      <c r="J46" s="153">
        <v>541.32340576901197</v>
      </c>
      <c r="K46" s="154" t="s">
        <v>508</v>
      </c>
      <c r="L46" s="153">
        <v>165</v>
      </c>
      <c r="M46" s="154" t="s">
        <v>508</v>
      </c>
      <c r="N46" s="153">
        <v>9</v>
      </c>
      <c r="O46" s="154" t="s">
        <v>508</v>
      </c>
    </row>
    <row r="47" spans="1:15" s="142" customFormat="1" ht="12.75" customHeight="1" x14ac:dyDescent="0.25">
      <c r="A47" s="151"/>
      <c r="B47" s="152" t="s">
        <v>4</v>
      </c>
      <c r="C47" s="219"/>
      <c r="D47" s="153">
        <v>4475.7787875239865</v>
      </c>
      <c r="E47" s="154" t="s">
        <v>508</v>
      </c>
      <c r="F47" s="153">
        <v>954</v>
      </c>
      <c r="G47" s="154" t="s">
        <v>508</v>
      </c>
      <c r="H47" s="153">
        <v>2849.07673809366</v>
      </c>
      <c r="I47" s="154" t="s">
        <v>508</v>
      </c>
      <c r="J47" s="153">
        <v>518.70204943032604</v>
      </c>
      <c r="K47" s="154" t="s">
        <v>508</v>
      </c>
      <c r="L47" s="153">
        <v>150</v>
      </c>
      <c r="M47" s="154" t="s">
        <v>508</v>
      </c>
      <c r="N47" s="153">
        <v>4</v>
      </c>
      <c r="O47" s="154" t="s">
        <v>508</v>
      </c>
    </row>
    <row r="48" spans="1:15" s="142" customFormat="1" ht="12.75" customHeight="1" x14ac:dyDescent="0.25">
      <c r="A48" s="151"/>
      <c r="B48" s="152"/>
      <c r="C48" s="219"/>
      <c r="D48" s="153"/>
      <c r="E48" s="154"/>
      <c r="F48" s="153"/>
      <c r="G48" s="154"/>
      <c r="H48" s="153"/>
      <c r="I48" s="154"/>
      <c r="J48" s="153"/>
      <c r="K48" s="154"/>
      <c r="L48" s="153"/>
      <c r="M48" s="154"/>
      <c r="N48" s="153"/>
      <c r="O48" s="154"/>
    </row>
    <row r="49" spans="1:15" s="142" customFormat="1" ht="12.75" customHeight="1" x14ac:dyDescent="0.25">
      <c r="A49" s="151">
        <v>2013</v>
      </c>
      <c r="B49" s="152" t="s">
        <v>1</v>
      </c>
      <c r="C49" s="219"/>
      <c r="D49" s="153">
        <v>4522.7781640614212</v>
      </c>
      <c r="E49" s="154" t="s">
        <v>508</v>
      </c>
      <c r="F49" s="153">
        <v>973</v>
      </c>
      <c r="G49" s="154" t="s">
        <v>508</v>
      </c>
      <c r="H49" s="153">
        <v>2883.601977237</v>
      </c>
      <c r="I49" s="154" t="s">
        <v>508</v>
      </c>
      <c r="J49" s="153">
        <v>524.17618682442105</v>
      </c>
      <c r="K49" s="154" t="s">
        <v>508</v>
      </c>
      <c r="L49" s="153">
        <v>138</v>
      </c>
      <c r="M49" s="154" t="s">
        <v>508</v>
      </c>
      <c r="N49" s="153">
        <v>4</v>
      </c>
      <c r="O49" s="154" t="s">
        <v>508</v>
      </c>
    </row>
    <row r="50" spans="1:15" s="142" customFormat="1" ht="12.75" customHeight="1" x14ac:dyDescent="0.25">
      <c r="A50" s="151"/>
      <c r="B50" s="152" t="s">
        <v>2</v>
      </c>
      <c r="C50" s="219"/>
      <c r="D50" s="153">
        <v>4611.2678222407958</v>
      </c>
      <c r="E50" s="154" t="s">
        <v>508</v>
      </c>
      <c r="F50" s="153">
        <v>1039</v>
      </c>
      <c r="G50" s="154" t="s">
        <v>508</v>
      </c>
      <c r="H50" s="153">
        <v>2899.3704180956602</v>
      </c>
      <c r="I50" s="154" t="s">
        <v>508</v>
      </c>
      <c r="J50" s="153">
        <v>510.89740414513602</v>
      </c>
      <c r="K50" s="154" t="s">
        <v>508</v>
      </c>
      <c r="L50" s="153">
        <v>155</v>
      </c>
      <c r="M50" s="154" t="s">
        <v>508</v>
      </c>
      <c r="N50" s="153">
        <v>7</v>
      </c>
      <c r="O50" s="154" t="s">
        <v>508</v>
      </c>
    </row>
    <row r="51" spans="1:15" s="142" customFormat="1" ht="12.75" customHeight="1" x14ac:dyDescent="0.25">
      <c r="A51" s="151"/>
      <c r="B51" s="152" t="s">
        <v>3</v>
      </c>
      <c r="C51" s="219"/>
      <c r="D51" s="153">
        <v>4399.6136724097605</v>
      </c>
      <c r="E51" s="154" t="s">
        <v>508</v>
      </c>
      <c r="F51" s="153">
        <v>921</v>
      </c>
      <c r="G51" s="154" t="s">
        <v>508</v>
      </c>
      <c r="H51" s="153">
        <v>2838.8499820996699</v>
      </c>
      <c r="I51" s="154" t="s">
        <v>508</v>
      </c>
      <c r="J51" s="153">
        <v>491.76369031009102</v>
      </c>
      <c r="K51" s="154" t="s">
        <v>508</v>
      </c>
      <c r="L51" s="153">
        <v>144</v>
      </c>
      <c r="M51" s="154" t="s">
        <v>508</v>
      </c>
      <c r="N51" s="153">
        <v>4</v>
      </c>
      <c r="O51" s="154" t="s">
        <v>508</v>
      </c>
    </row>
    <row r="52" spans="1:15" s="142" customFormat="1" ht="12.75" customHeight="1" x14ac:dyDescent="0.25">
      <c r="A52" s="151"/>
      <c r="B52" s="152" t="s">
        <v>4</v>
      </c>
      <c r="C52" s="219"/>
      <c r="D52" s="153">
        <v>4148.3403412880125</v>
      </c>
      <c r="E52" s="154" t="s">
        <v>508</v>
      </c>
      <c r="F52" s="153">
        <v>699</v>
      </c>
      <c r="G52" s="154" t="s">
        <v>508</v>
      </c>
      <c r="H52" s="153">
        <v>2831.1776225676599</v>
      </c>
      <c r="I52" s="154" t="s">
        <v>508</v>
      </c>
      <c r="J52" s="153">
        <v>482.16271872035298</v>
      </c>
      <c r="K52" s="154" t="s">
        <v>508</v>
      </c>
      <c r="L52" s="153">
        <v>134</v>
      </c>
      <c r="M52" s="154" t="s">
        <v>508</v>
      </c>
      <c r="N52" s="153">
        <v>2</v>
      </c>
      <c r="O52" s="154" t="s">
        <v>508</v>
      </c>
    </row>
    <row r="53" spans="1:15" s="142" customFormat="1" ht="12.75" customHeight="1" x14ac:dyDescent="0.25">
      <c r="A53" s="151"/>
      <c r="B53" s="152"/>
      <c r="C53" s="219"/>
      <c r="D53" s="153"/>
      <c r="E53" s="154"/>
      <c r="F53" s="153"/>
      <c r="G53" s="154"/>
      <c r="H53" s="153"/>
      <c r="I53" s="154"/>
      <c r="J53" s="153"/>
      <c r="K53" s="154"/>
      <c r="L53" s="153"/>
      <c r="M53" s="154"/>
      <c r="N53" s="153"/>
      <c r="O53" s="154"/>
    </row>
    <row r="54" spans="1:15" s="142" customFormat="1" ht="12.75" customHeight="1" x14ac:dyDescent="0.25">
      <c r="A54" s="151">
        <v>2014</v>
      </c>
      <c r="B54" s="152" t="s">
        <v>1</v>
      </c>
      <c r="C54" s="219"/>
      <c r="D54" s="153">
        <v>4381.2357725875145</v>
      </c>
      <c r="E54" s="154" t="s">
        <v>508</v>
      </c>
      <c r="F54" s="153">
        <v>1075</v>
      </c>
      <c r="G54" s="154" t="s">
        <v>508</v>
      </c>
      <c r="H54" s="153">
        <v>2694.7704288844702</v>
      </c>
      <c r="I54" s="154" t="s">
        <v>508</v>
      </c>
      <c r="J54" s="153">
        <v>466.46534370304403</v>
      </c>
      <c r="K54" s="154" t="s">
        <v>508</v>
      </c>
      <c r="L54" s="153">
        <v>134</v>
      </c>
      <c r="M54" s="154" t="s">
        <v>508</v>
      </c>
      <c r="N54" s="153">
        <v>11</v>
      </c>
      <c r="O54" s="154" t="s">
        <v>508</v>
      </c>
    </row>
    <row r="55" spans="1:15" s="142" customFormat="1" ht="12.75" customHeight="1" x14ac:dyDescent="0.25">
      <c r="A55" s="151"/>
      <c r="B55" s="152" t="s">
        <v>2</v>
      </c>
      <c r="C55" s="219"/>
      <c r="D55" s="153">
        <v>4095.3731547083698</v>
      </c>
      <c r="E55" s="154" t="s">
        <v>508</v>
      </c>
      <c r="F55" s="153">
        <v>983</v>
      </c>
      <c r="G55" s="154" t="s">
        <v>508</v>
      </c>
      <c r="H55" s="153">
        <v>2583.37897727068</v>
      </c>
      <c r="I55" s="154" t="s">
        <v>508</v>
      </c>
      <c r="J55" s="153">
        <v>370.99417743768998</v>
      </c>
      <c r="K55" s="154" t="s">
        <v>508</v>
      </c>
      <c r="L55" s="153">
        <v>151</v>
      </c>
      <c r="M55" s="154" t="s">
        <v>508</v>
      </c>
      <c r="N55" s="153">
        <v>7</v>
      </c>
      <c r="O55" s="154" t="s">
        <v>508</v>
      </c>
    </row>
    <row r="56" spans="1:15" s="142" customFormat="1" ht="12.75" customHeight="1" x14ac:dyDescent="0.25">
      <c r="A56" s="151"/>
      <c r="B56" s="152" t="s">
        <v>3</v>
      </c>
      <c r="C56" s="219"/>
      <c r="D56" s="153">
        <v>3944.532048330555</v>
      </c>
      <c r="E56" s="154" t="s">
        <v>508</v>
      </c>
      <c r="F56" s="153">
        <v>864</v>
      </c>
      <c r="G56" s="154" t="s">
        <v>508</v>
      </c>
      <c r="H56" s="153">
        <v>2562.7316521861899</v>
      </c>
      <c r="I56" s="154" t="s">
        <v>508</v>
      </c>
      <c r="J56" s="153">
        <v>384.80039614436498</v>
      </c>
      <c r="K56" s="154" t="s">
        <v>508</v>
      </c>
      <c r="L56" s="153">
        <v>132</v>
      </c>
      <c r="M56" s="154" t="s">
        <v>508</v>
      </c>
      <c r="N56" s="153">
        <v>1</v>
      </c>
      <c r="O56" s="154" t="s">
        <v>508</v>
      </c>
    </row>
    <row r="57" spans="1:15" s="142" customFormat="1" ht="12.75" customHeight="1" x14ac:dyDescent="0.25">
      <c r="A57" s="151"/>
      <c r="B57" s="152" t="s">
        <v>4</v>
      </c>
      <c r="C57" s="219"/>
      <c r="D57" s="153">
        <v>3897.8590243735607</v>
      </c>
      <c r="E57" s="154" t="s">
        <v>508</v>
      </c>
      <c r="F57" s="153">
        <v>833</v>
      </c>
      <c r="G57" s="154" t="s">
        <v>508</v>
      </c>
      <c r="H57" s="153">
        <v>2560.1189416586599</v>
      </c>
      <c r="I57" s="154" t="s">
        <v>508</v>
      </c>
      <c r="J57" s="153">
        <v>364.74008271490101</v>
      </c>
      <c r="K57" s="154" t="s">
        <v>508</v>
      </c>
      <c r="L57" s="153">
        <v>137</v>
      </c>
      <c r="M57" s="154" t="s">
        <v>508</v>
      </c>
      <c r="N57" s="153">
        <v>3</v>
      </c>
      <c r="O57" s="154" t="s">
        <v>508</v>
      </c>
    </row>
    <row r="58" spans="1:15" s="142" customFormat="1" ht="12.75" customHeight="1" x14ac:dyDescent="0.25">
      <c r="A58" s="151"/>
      <c r="B58" s="152"/>
      <c r="C58" s="219"/>
      <c r="D58" s="153"/>
      <c r="E58" s="154"/>
      <c r="F58" s="153"/>
      <c r="G58" s="154"/>
      <c r="H58" s="153"/>
      <c r="I58" s="154"/>
      <c r="J58" s="153"/>
      <c r="K58" s="154"/>
      <c r="L58" s="153"/>
      <c r="M58" s="154"/>
      <c r="N58" s="153"/>
      <c r="O58" s="154"/>
    </row>
    <row r="59" spans="1:15" s="142" customFormat="1" ht="12.75" customHeight="1" x14ac:dyDescent="0.25">
      <c r="A59" s="151">
        <v>2015</v>
      </c>
      <c r="B59" s="152" t="s">
        <v>1</v>
      </c>
      <c r="C59" s="219"/>
      <c r="D59" s="153">
        <v>3843.093391972428</v>
      </c>
      <c r="E59" s="154" t="s">
        <v>508</v>
      </c>
      <c r="F59" s="153">
        <v>908</v>
      </c>
      <c r="G59" s="154" t="s">
        <v>508</v>
      </c>
      <c r="H59" s="153">
        <v>2503.0625322710298</v>
      </c>
      <c r="I59" s="154" t="s">
        <v>508</v>
      </c>
      <c r="J59" s="153">
        <v>344.03085970139801</v>
      </c>
      <c r="K59" s="154" t="s">
        <v>508</v>
      </c>
      <c r="L59" s="153">
        <v>87</v>
      </c>
      <c r="M59" s="154" t="s">
        <v>508</v>
      </c>
      <c r="N59" s="153">
        <v>1</v>
      </c>
      <c r="O59" s="154" t="s">
        <v>508</v>
      </c>
    </row>
    <row r="60" spans="1:15" s="142" customFormat="1" ht="12.75" customHeight="1" x14ac:dyDescent="0.25">
      <c r="A60" s="151"/>
      <c r="B60" s="152" t="s">
        <v>2</v>
      </c>
      <c r="C60" s="219"/>
      <c r="D60" s="153">
        <v>3718.0687234899929</v>
      </c>
      <c r="E60" s="154" t="s">
        <v>508</v>
      </c>
      <c r="F60" s="153">
        <v>770</v>
      </c>
      <c r="G60" s="154" t="s">
        <v>508</v>
      </c>
      <c r="H60" s="153">
        <v>2488.1280533439499</v>
      </c>
      <c r="I60" s="154" t="s">
        <v>508</v>
      </c>
      <c r="J60" s="153">
        <v>367.94067014604298</v>
      </c>
      <c r="K60" s="154" t="s">
        <v>508</v>
      </c>
      <c r="L60" s="153">
        <v>85</v>
      </c>
      <c r="M60" s="154" t="s">
        <v>508</v>
      </c>
      <c r="N60" s="153">
        <v>7</v>
      </c>
      <c r="O60" s="154" t="s">
        <v>508</v>
      </c>
    </row>
    <row r="61" spans="1:15" s="142" customFormat="1" ht="12.75" customHeight="1" x14ac:dyDescent="0.25">
      <c r="A61" s="151"/>
      <c r="B61" s="152" t="s">
        <v>3</v>
      </c>
      <c r="C61" s="219"/>
      <c r="D61" s="153">
        <v>3592.7456866458961</v>
      </c>
      <c r="E61" s="154" t="s">
        <v>508</v>
      </c>
      <c r="F61" s="153">
        <v>617</v>
      </c>
      <c r="G61" s="154" t="s">
        <v>508</v>
      </c>
      <c r="H61" s="153">
        <v>2514.9963857264702</v>
      </c>
      <c r="I61" s="154" t="s">
        <v>508</v>
      </c>
      <c r="J61" s="153">
        <v>349.74930091942599</v>
      </c>
      <c r="K61" s="154" t="s">
        <v>508</v>
      </c>
      <c r="L61" s="153">
        <v>110</v>
      </c>
      <c r="M61" s="154" t="s">
        <v>508</v>
      </c>
      <c r="N61" s="153">
        <v>1</v>
      </c>
      <c r="O61" s="154" t="s">
        <v>508</v>
      </c>
    </row>
    <row r="62" spans="1:15" s="142" customFormat="1" ht="12.75" customHeight="1" x14ac:dyDescent="0.25">
      <c r="A62" s="151"/>
      <c r="B62" s="152" t="s">
        <v>4</v>
      </c>
      <c r="C62" s="219"/>
      <c r="D62" s="153">
        <v>3503.0921978916931</v>
      </c>
      <c r="E62" s="154" t="s">
        <v>508</v>
      </c>
      <c r="F62" s="153">
        <v>594</v>
      </c>
      <c r="G62" s="154" t="s">
        <v>508</v>
      </c>
      <c r="H62" s="153">
        <v>2485.8130286585601</v>
      </c>
      <c r="I62" s="154" t="s">
        <v>508</v>
      </c>
      <c r="J62" s="153">
        <v>340.27916923313302</v>
      </c>
      <c r="K62" s="154" t="s">
        <v>508</v>
      </c>
      <c r="L62" s="153">
        <v>81</v>
      </c>
      <c r="M62" s="154" t="s">
        <v>508</v>
      </c>
      <c r="N62" s="153">
        <v>2</v>
      </c>
      <c r="O62" s="154" t="s">
        <v>508</v>
      </c>
    </row>
    <row r="63" spans="1:15" s="142" customFormat="1" ht="12.75" customHeight="1" x14ac:dyDescent="0.25">
      <c r="A63" s="151"/>
      <c r="B63" s="152"/>
      <c r="C63" s="219"/>
      <c r="D63" s="153"/>
      <c r="E63" s="154"/>
      <c r="F63" s="153"/>
      <c r="G63" s="154"/>
      <c r="H63" s="153"/>
      <c r="I63" s="154"/>
      <c r="J63" s="153"/>
      <c r="K63" s="154"/>
      <c r="L63" s="153"/>
      <c r="M63" s="154"/>
      <c r="N63" s="153"/>
      <c r="O63" s="154"/>
    </row>
    <row r="64" spans="1:15" s="142" customFormat="1" ht="12.75" customHeight="1" x14ac:dyDescent="0.25">
      <c r="A64" s="151">
        <v>2016</v>
      </c>
      <c r="B64" s="152" t="s">
        <v>1</v>
      </c>
      <c r="C64" s="219" t="s">
        <v>197</v>
      </c>
      <c r="D64" s="153">
        <v>3767.8179183736556</v>
      </c>
      <c r="E64" s="154" t="s">
        <v>280</v>
      </c>
      <c r="F64" s="153">
        <v>813</v>
      </c>
      <c r="G64" s="154" t="s">
        <v>508</v>
      </c>
      <c r="H64" s="153">
        <v>2555.1505053691399</v>
      </c>
      <c r="I64" s="154" t="s">
        <v>280</v>
      </c>
      <c r="J64" s="153">
        <v>315.66741300451599</v>
      </c>
      <c r="K64" s="154" t="s">
        <v>280</v>
      </c>
      <c r="L64" s="153">
        <v>84</v>
      </c>
      <c r="M64" s="154" t="s">
        <v>508</v>
      </c>
      <c r="N64" s="153">
        <v>0</v>
      </c>
      <c r="O64" s="154" t="s">
        <v>508</v>
      </c>
    </row>
    <row r="65" spans="1:27" s="142" customFormat="1" ht="12.75" customHeight="1" x14ac:dyDescent="0.25">
      <c r="A65" s="151"/>
      <c r="B65" s="152" t="s">
        <v>2</v>
      </c>
      <c r="C65" s="219" t="s">
        <v>197</v>
      </c>
      <c r="D65" s="153">
        <v>3546.9873312703021</v>
      </c>
      <c r="E65" s="154" t="s">
        <v>280</v>
      </c>
      <c r="F65" s="153">
        <v>662</v>
      </c>
      <c r="G65" s="154" t="s">
        <v>508</v>
      </c>
      <c r="H65" s="153">
        <v>2434.44429186465</v>
      </c>
      <c r="I65" s="154" t="s">
        <v>280</v>
      </c>
      <c r="J65" s="153">
        <v>342.543039405652</v>
      </c>
      <c r="K65" s="154" t="s">
        <v>280</v>
      </c>
      <c r="L65" s="153">
        <v>108</v>
      </c>
      <c r="M65" s="154" t="s">
        <v>508</v>
      </c>
      <c r="N65" s="153">
        <v>0</v>
      </c>
      <c r="O65" s="154" t="s">
        <v>508</v>
      </c>
    </row>
    <row r="66" spans="1:27" s="142" customFormat="1" ht="12.75" customHeight="1" x14ac:dyDescent="0.25">
      <c r="A66" s="151"/>
      <c r="B66" s="152" t="s">
        <v>3</v>
      </c>
      <c r="C66" s="219" t="s">
        <v>197</v>
      </c>
      <c r="D66" s="153">
        <v>3623.757657063546</v>
      </c>
      <c r="E66" s="154" t="s">
        <v>280</v>
      </c>
      <c r="F66" s="153">
        <v>635</v>
      </c>
      <c r="G66" s="154" t="s">
        <v>508</v>
      </c>
      <c r="H66" s="153">
        <v>2547.2630775268499</v>
      </c>
      <c r="I66" s="154" t="s">
        <v>280</v>
      </c>
      <c r="J66" s="153">
        <v>366.49457953669599</v>
      </c>
      <c r="K66" s="154" t="s">
        <v>280</v>
      </c>
      <c r="L66" s="153">
        <v>70</v>
      </c>
      <c r="M66" s="154" t="s">
        <v>280</v>
      </c>
      <c r="N66" s="153">
        <v>5</v>
      </c>
      <c r="O66" s="154" t="s">
        <v>508</v>
      </c>
      <c r="Q66" s="314"/>
    </row>
    <row r="67" spans="1:27" s="142" customFormat="1" ht="12.75" customHeight="1" x14ac:dyDescent="0.25">
      <c r="A67" s="152"/>
      <c r="B67" s="152" t="s">
        <v>4</v>
      </c>
      <c r="C67" s="219" t="s">
        <v>197</v>
      </c>
      <c r="D67" s="153">
        <v>5593.4370932924949</v>
      </c>
      <c r="E67" s="154" t="s">
        <v>280</v>
      </c>
      <c r="F67" s="153">
        <v>809</v>
      </c>
      <c r="G67" s="154" t="s">
        <v>280</v>
      </c>
      <c r="H67" s="153">
        <v>4353.1421252393602</v>
      </c>
      <c r="I67" s="154" t="s">
        <v>280</v>
      </c>
      <c r="J67" s="153">
        <v>349.29496805313499</v>
      </c>
      <c r="K67" s="154" t="s">
        <v>280</v>
      </c>
      <c r="L67" s="153">
        <v>82</v>
      </c>
      <c r="M67" s="154" t="s">
        <v>280</v>
      </c>
      <c r="N67" s="153">
        <v>0</v>
      </c>
      <c r="O67" s="154" t="s">
        <v>508</v>
      </c>
      <c r="Q67" s="313"/>
    </row>
    <row r="68" spans="1:27" s="142" customFormat="1" ht="12.75" customHeight="1" x14ac:dyDescent="0.25">
      <c r="A68" s="151"/>
      <c r="B68" s="152"/>
      <c r="C68" s="219"/>
      <c r="D68" s="153"/>
      <c r="E68" s="154"/>
      <c r="F68" s="153"/>
      <c r="G68" s="154"/>
      <c r="H68" s="153"/>
      <c r="I68" s="154"/>
      <c r="J68" s="153"/>
      <c r="K68" s="154"/>
      <c r="L68" s="153"/>
      <c r="M68" s="154"/>
      <c r="N68" s="153"/>
      <c r="O68" s="154"/>
      <c r="Q68" s="313"/>
    </row>
    <row r="69" spans="1:27" s="142" customFormat="1" ht="12.75" customHeight="1" x14ac:dyDescent="0.25">
      <c r="A69" s="151">
        <v>2017</v>
      </c>
      <c r="B69" s="152" t="s">
        <v>1</v>
      </c>
      <c r="C69" s="219" t="s">
        <v>415</v>
      </c>
      <c r="D69" s="153">
        <v>3966.8403719367739</v>
      </c>
      <c r="E69" s="154" t="s">
        <v>508</v>
      </c>
      <c r="F69" s="153">
        <v>836</v>
      </c>
      <c r="G69" s="154" t="s">
        <v>508</v>
      </c>
      <c r="H69" s="153">
        <v>2693.11390168042</v>
      </c>
      <c r="I69" s="154" t="s">
        <v>508</v>
      </c>
      <c r="J69" s="153">
        <v>356.72647025635399</v>
      </c>
      <c r="K69" s="154" t="s">
        <v>508</v>
      </c>
      <c r="L69" s="153">
        <v>81</v>
      </c>
      <c r="M69" s="154" t="s">
        <v>508</v>
      </c>
      <c r="N69" s="153">
        <v>0</v>
      </c>
      <c r="O69" s="154" t="s">
        <v>508</v>
      </c>
      <c r="Q69" s="313"/>
      <c r="AA69" s="142" t="s">
        <v>508</v>
      </c>
    </row>
    <row r="70" spans="1:27" s="142" customFormat="1" ht="12.75" customHeight="1" thickBot="1" x14ac:dyDescent="0.3">
      <c r="A70" s="152"/>
      <c r="B70" s="156"/>
      <c r="C70" s="156"/>
      <c r="D70" s="153"/>
      <c r="E70" s="154"/>
      <c r="F70" s="153"/>
      <c r="G70" s="154"/>
      <c r="H70" s="153"/>
      <c r="I70" s="154"/>
      <c r="J70" s="153"/>
      <c r="K70" s="154"/>
      <c r="L70" s="153"/>
      <c r="M70" s="154"/>
      <c r="N70" s="153"/>
      <c r="O70" s="154"/>
    </row>
    <row r="71" spans="1:27" s="142" customFormat="1" ht="12.75" customHeight="1" x14ac:dyDescent="0.2">
      <c r="A71" s="159" t="s">
        <v>509</v>
      </c>
      <c r="B71" s="159"/>
      <c r="C71" s="159"/>
      <c r="D71" s="159"/>
      <c r="E71" s="221"/>
      <c r="F71" s="159"/>
      <c r="G71" s="221"/>
      <c r="H71" s="159"/>
      <c r="I71" s="221"/>
      <c r="J71" s="159"/>
      <c r="K71" s="221"/>
      <c r="L71" s="159"/>
      <c r="M71" s="221"/>
      <c r="N71" s="159"/>
      <c r="O71" s="221"/>
    </row>
    <row r="72" spans="1:27" s="142" customFormat="1" ht="12.75" customHeight="1" x14ac:dyDescent="0.2">
      <c r="A72" s="160"/>
      <c r="B72" s="160"/>
      <c r="C72" s="160"/>
      <c r="D72" s="160"/>
      <c r="E72" s="161"/>
      <c r="F72" s="160"/>
      <c r="G72" s="161"/>
      <c r="H72" s="160"/>
      <c r="I72" s="161"/>
      <c r="J72" s="160"/>
      <c r="K72" s="161"/>
      <c r="L72" s="160"/>
      <c r="M72" s="161"/>
      <c r="N72" s="160"/>
      <c r="O72" s="161"/>
    </row>
    <row r="73" spans="1:27" s="142" customFormat="1" ht="12.75" customHeight="1" x14ac:dyDescent="0.2">
      <c r="A73" s="162">
        <v>2016</v>
      </c>
      <c r="B73" s="163" t="s">
        <v>4</v>
      </c>
      <c r="C73" s="163"/>
      <c r="D73" s="164">
        <v>-29.080450789484946</v>
      </c>
      <c r="E73" s="161"/>
      <c r="F73" s="164">
        <v>3.3374536464771287</v>
      </c>
      <c r="G73" s="161"/>
      <c r="H73" s="164">
        <v>-38.134023098721194</v>
      </c>
      <c r="I73" s="161"/>
      <c r="J73" s="164">
        <v>2.127572076013573</v>
      </c>
      <c r="K73" s="161"/>
      <c r="L73" s="164">
        <v>-1.2195121951219523</v>
      </c>
      <c r="M73" s="161"/>
      <c r="N73" s="164" t="s">
        <v>505</v>
      </c>
      <c r="O73" s="161"/>
    </row>
    <row r="74" spans="1:27" s="142" customFormat="1" ht="12.75" customHeight="1" x14ac:dyDescent="0.2">
      <c r="A74" s="165"/>
      <c r="B74" s="166"/>
      <c r="C74" s="166"/>
      <c r="D74" s="167"/>
      <c r="E74" s="281"/>
      <c r="F74" s="167"/>
      <c r="G74" s="281"/>
      <c r="H74" s="167"/>
      <c r="I74" s="281"/>
      <c r="J74" s="167"/>
      <c r="K74" s="281"/>
      <c r="L74" s="167"/>
      <c r="M74" s="281"/>
      <c r="N74" s="167"/>
      <c r="O74" s="281"/>
    </row>
    <row r="75" spans="1:27" s="142" customFormat="1" ht="12.75" customHeight="1" thickBot="1" x14ac:dyDescent="0.25">
      <c r="A75" s="157">
        <v>2016</v>
      </c>
      <c r="B75" s="158" t="s">
        <v>1</v>
      </c>
      <c r="C75" s="158"/>
      <c r="D75" s="168">
        <v>5.2821675005204183</v>
      </c>
      <c r="E75" s="282"/>
      <c r="F75" s="168">
        <v>2.8290282902829089</v>
      </c>
      <c r="G75" s="282"/>
      <c r="H75" s="168">
        <v>5.3994234790231577</v>
      </c>
      <c r="I75" s="282"/>
      <c r="J75" s="168">
        <v>13.007062357510634</v>
      </c>
      <c r="K75" s="282"/>
      <c r="L75" s="168">
        <v>-3.5714285714285698</v>
      </c>
      <c r="M75" s="282"/>
      <c r="N75" s="168" t="s">
        <v>505</v>
      </c>
      <c r="O75" s="282"/>
    </row>
    <row r="76" spans="1:27" s="169" customFormat="1" ht="15" x14ac:dyDescent="0.2">
      <c r="A76" s="342"/>
      <c r="B76" s="342"/>
      <c r="C76" s="342"/>
      <c r="D76" s="342"/>
      <c r="E76" s="342"/>
      <c r="F76" s="342"/>
      <c r="G76" s="342"/>
      <c r="H76" s="342"/>
      <c r="I76" s="342"/>
      <c r="J76" s="342"/>
      <c r="K76" s="342"/>
      <c r="L76" s="342"/>
      <c r="M76" s="342"/>
      <c r="N76" s="342"/>
      <c r="O76" s="342"/>
    </row>
    <row r="77" spans="1:27" s="169" customFormat="1" ht="15" x14ac:dyDescent="0.2">
      <c r="A77" s="340" t="s">
        <v>265</v>
      </c>
      <c r="B77" s="340"/>
      <c r="C77" s="340"/>
      <c r="D77" s="340"/>
      <c r="E77" s="340"/>
      <c r="F77" s="340"/>
      <c r="G77" s="340"/>
      <c r="H77" s="340"/>
      <c r="I77" s="340"/>
      <c r="J77" s="340"/>
      <c r="K77" s="340"/>
      <c r="L77" s="340"/>
      <c r="M77" s="340"/>
      <c r="N77" s="340"/>
      <c r="O77" s="340"/>
    </row>
    <row r="78" spans="1:27" s="169" customFormat="1" ht="30" customHeight="1" x14ac:dyDescent="0.2">
      <c r="A78" s="340" t="s">
        <v>474</v>
      </c>
      <c r="B78" s="340"/>
      <c r="C78" s="340"/>
      <c r="D78" s="340"/>
      <c r="E78" s="340"/>
      <c r="F78" s="340"/>
      <c r="G78" s="340"/>
      <c r="H78" s="340"/>
      <c r="I78" s="340"/>
      <c r="J78" s="340"/>
      <c r="K78" s="340"/>
      <c r="L78" s="340"/>
      <c r="M78" s="340"/>
      <c r="N78" s="340"/>
      <c r="O78" s="340"/>
    </row>
    <row r="79" spans="1:27" s="170" customFormat="1" ht="15" customHeight="1" x14ac:dyDescent="0.3">
      <c r="A79" s="340" t="s">
        <v>475</v>
      </c>
      <c r="B79" s="340"/>
      <c r="C79" s="340"/>
      <c r="D79" s="340"/>
      <c r="E79" s="340"/>
      <c r="F79" s="340"/>
      <c r="G79" s="340"/>
      <c r="H79" s="340"/>
      <c r="I79" s="340"/>
      <c r="J79" s="340"/>
      <c r="K79" s="340"/>
      <c r="L79" s="340"/>
      <c r="M79" s="340"/>
      <c r="N79" s="340"/>
      <c r="O79" s="340"/>
    </row>
    <row r="80" spans="1:27" s="169" customFormat="1" ht="15" customHeight="1" x14ac:dyDescent="0.2">
      <c r="A80" s="340" t="s">
        <v>476</v>
      </c>
      <c r="B80" s="340"/>
      <c r="C80" s="340"/>
      <c r="D80" s="340"/>
      <c r="E80" s="340"/>
      <c r="F80" s="340"/>
      <c r="G80" s="340"/>
      <c r="H80" s="340"/>
      <c r="I80" s="340"/>
      <c r="J80" s="340"/>
      <c r="K80" s="340"/>
      <c r="L80" s="340"/>
      <c r="M80" s="340"/>
      <c r="N80" s="340"/>
      <c r="O80" s="340"/>
    </row>
    <row r="81" spans="1:15" s="171" customFormat="1" ht="15" customHeight="1" x14ac:dyDescent="0.3">
      <c r="A81" s="339" t="s">
        <v>411</v>
      </c>
      <c r="B81" s="339"/>
      <c r="C81" s="339"/>
      <c r="D81" s="339"/>
      <c r="E81" s="339"/>
      <c r="F81" s="339"/>
      <c r="G81" s="339"/>
      <c r="H81" s="339"/>
      <c r="I81" s="339"/>
      <c r="J81" s="339"/>
      <c r="K81" s="339"/>
      <c r="L81" s="339"/>
      <c r="M81" s="339"/>
      <c r="N81" s="339"/>
      <c r="O81" s="339"/>
    </row>
    <row r="82" spans="1:15" s="171" customFormat="1" ht="32.25" customHeight="1" x14ac:dyDescent="0.3">
      <c r="A82" s="340" t="s">
        <v>412</v>
      </c>
      <c r="B82" s="340"/>
      <c r="C82" s="340"/>
      <c r="D82" s="340"/>
      <c r="E82" s="340"/>
      <c r="F82" s="340"/>
      <c r="G82" s="340"/>
      <c r="H82" s="340"/>
      <c r="I82" s="340"/>
      <c r="J82" s="340"/>
      <c r="K82" s="340"/>
      <c r="L82" s="340"/>
      <c r="M82" s="340"/>
      <c r="N82" s="340"/>
      <c r="O82" s="340"/>
    </row>
    <row r="83" spans="1:15" ht="31.5" customHeight="1" x14ac:dyDescent="0.3">
      <c r="A83" s="344" t="s">
        <v>413</v>
      </c>
      <c r="B83" s="344"/>
      <c r="C83" s="344"/>
      <c r="D83" s="344"/>
      <c r="E83" s="344"/>
      <c r="F83" s="344"/>
      <c r="G83" s="344"/>
      <c r="H83" s="344"/>
      <c r="I83" s="344"/>
      <c r="J83" s="344"/>
      <c r="K83" s="344"/>
      <c r="L83" s="344"/>
      <c r="M83" s="344"/>
      <c r="N83" s="344"/>
      <c r="O83" s="344"/>
    </row>
    <row r="84" spans="1:15" ht="30" customHeight="1" x14ac:dyDescent="0.3">
      <c r="A84" s="343" t="s">
        <v>417</v>
      </c>
      <c r="B84" s="343"/>
      <c r="C84" s="343"/>
      <c r="D84" s="343"/>
      <c r="E84" s="343"/>
      <c r="F84" s="343"/>
      <c r="G84" s="343"/>
      <c r="H84" s="343"/>
      <c r="I84" s="343"/>
      <c r="J84" s="343"/>
      <c r="K84" s="343"/>
      <c r="L84" s="343"/>
      <c r="M84" s="343"/>
      <c r="N84" s="343"/>
      <c r="O84" s="343"/>
    </row>
    <row r="85" spans="1:15" ht="32.25" customHeight="1" x14ac:dyDescent="0.3">
      <c r="A85" s="344" t="s">
        <v>414</v>
      </c>
      <c r="B85" s="344"/>
      <c r="C85" s="344"/>
      <c r="D85" s="344"/>
      <c r="E85" s="344"/>
      <c r="F85" s="344"/>
      <c r="G85" s="344"/>
      <c r="H85" s="344"/>
      <c r="I85" s="344"/>
      <c r="J85" s="344"/>
      <c r="K85" s="344"/>
      <c r="L85" s="344"/>
      <c r="M85" s="344"/>
      <c r="N85" s="344"/>
      <c r="O85" s="344"/>
    </row>
    <row r="86" spans="1:15" ht="48" customHeight="1" x14ac:dyDescent="0.3">
      <c r="A86" s="343" t="s">
        <v>486</v>
      </c>
      <c r="B86" s="343"/>
      <c r="C86" s="343"/>
      <c r="D86" s="343"/>
      <c r="E86" s="343"/>
      <c r="F86" s="343"/>
      <c r="G86" s="343"/>
      <c r="H86" s="343"/>
      <c r="I86" s="343"/>
      <c r="J86" s="343"/>
      <c r="K86" s="343"/>
      <c r="L86" s="343"/>
      <c r="M86" s="343"/>
      <c r="N86" s="343"/>
      <c r="O86" s="343"/>
    </row>
    <row r="87" spans="1:15" ht="35.25" customHeight="1" x14ac:dyDescent="0.3">
      <c r="A87" s="340" t="s">
        <v>418</v>
      </c>
      <c r="B87" s="340"/>
      <c r="C87" s="340"/>
      <c r="D87" s="340"/>
      <c r="E87" s="340"/>
      <c r="F87" s="340"/>
      <c r="G87" s="340"/>
      <c r="H87" s="340"/>
      <c r="I87" s="340"/>
      <c r="J87" s="340"/>
      <c r="K87" s="340"/>
      <c r="L87" s="340"/>
      <c r="M87" s="340"/>
      <c r="N87" s="340"/>
      <c r="O87" s="340"/>
    </row>
    <row r="88" spans="1:15" ht="15" x14ac:dyDescent="0.3">
      <c r="A88" s="343"/>
      <c r="B88" s="343"/>
      <c r="C88" s="343"/>
      <c r="D88" s="343"/>
      <c r="E88" s="343"/>
      <c r="F88" s="343"/>
      <c r="G88" s="343"/>
      <c r="H88" s="343"/>
      <c r="I88" s="343"/>
      <c r="J88" s="343"/>
      <c r="K88" s="343"/>
      <c r="L88" s="343"/>
      <c r="M88" s="343"/>
      <c r="N88" s="343"/>
      <c r="O88" s="343"/>
    </row>
    <row r="90" spans="1:15" ht="12.75" customHeight="1" x14ac:dyDescent="0.3">
      <c r="A90" s="340"/>
      <c r="B90" s="340"/>
      <c r="C90" s="340"/>
      <c r="D90" s="340"/>
      <c r="E90" s="340"/>
      <c r="F90" s="340"/>
      <c r="G90" s="340"/>
      <c r="H90" s="340"/>
      <c r="I90" s="340"/>
      <c r="J90" s="340"/>
      <c r="K90" s="340"/>
      <c r="L90" s="340"/>
      <c r="M90" s="340"/>
      <c r="N90" s="340"/>
      <c r="O90" s="340"/>
    </row>
  </sheetData>
  <dataConsolidate/>
  <mergeCells count="21">
    <mergeCell ref="A86:O86"/>
    <mergeCell ref="A84:O84"/>
    <mergeCell ref="A83:O83"/>
    <mergeCell ref="A88:O88"/>
    <mergeCell ref="A90:O90"/>
    <mergeCell ref="A85:O85"/>
    <mergeCell ref="A87:O87"/>
    <mergeCell ref="J6:O6"/>
    <mergeCell ref="D7:E7"/>
    <mergeCell ref="A81:O81"/>
    <mergeCell ref="A82:O82"/>
    <mergeCell ref="F7:G7"/>
    <mergeCell ref="H7:I7"/>
    <mergeCell ref="J7:K7"/>
    <mergeCell ref="L7:M7"/>
    <mergeCell ref="N7:O7"/>
    <mergeCell ref="A76:O76"/>
    <mergeCell ref="A77:O77"/>
    <mergeCell ref="A78:O78"/>
    <mergeCell ref="A79:O79"/>
    <mergeCell ref="A80:O80"/>
  </mergeCells>
  <hyperlinks>
    <hyperlink ref="A5" location="'Table Contents'!A1" display="Back to contents"/>
  </hyperlinks>
  <printOptions horizontalCentered="1" verticalCentered="1" gridLinesSet="0"/>
  <pageMargins left="0.19685039370078741" right="0.19685039370078741" top="0.19685039370078741" bottom="0.19685039370078741" header="0.39370078740157483" footer="0.39370078740157483"/>
  <pageSetup paperSize="9" scale="61"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AA86"/>
  <sheetViews>
    <sheetView showGridLines="0" topLeftCell="A3" zoomScaleNormal="100" workbookViewId="0">
      <pane xSplit="3" ySplit="5" topLeftCell="D8" activePane="bottomRight" state="frozen"/>
      <selection activeCell="A3" sqref="A3"/>
      <selection pane="topRight" activeCell="D3" sqref="D3"/>
      <selection pane="bottomLeft" activeCell="A8" sqref="A8"/>
      <selection pane="bottomRight" activeCell="D8" sqref="D8"/>
    </sheetView>
  </sheetViews>
  <sheetFormatPr defaultColWidth="8.85546875" defaultRowHeight="12.75" customHeight="1" x14ac:dyDescent="0.3"/>
  <cols>
    <col min="1" max="1" width="7.42578125" style="131" customWidth="1"/>
    <col min="2" max="3" width="4.85546875" style="131" customWidth="1"/>
    <col min="4" max="4" width="12.7109375" style="172" customWidth="1"/>
    <col min="5" max="5" width="3.85546875" style="174" customWidth="1"/>
    <col min="6" max="6" width="11.7109375" style="172" customWidth="1"/>
    <col min="7" max="7" width="3.85546875" style="174" customWidth="1"/>
    <col min="8" max="8" width="11.28515625" style="172" customWidth="1"/>
    <col min="9" max="9" width="3.85546875" style="174" customWidth="1"/>
    <col min="10" max="10" width="14" style="173" bestFit="1" customWidth="1"/>
    <col min="11" max="11" width="3.85546875" style="174" customWidth="1"/>
    <col min="12" max="12" width="12.28515625" style="173" bestFit="1" customWidth="1"/>
    <col min="13" max="13" width="3.85546875" style="174" customWidth="1"/>
    <col min="14" max="14" width="12.140625" style="172" bestFit="1" customWidth="1"/>
    <col min="15" max="15" width="3.85546875" style="174" customWidth="1"/>
    <col min="16" max="16384" width="8.85546875" style="134"/>
  </cols>
  <sheetData>
    <row r="1" spans="1:15" ht="12.75" hidden="1" customHeight="1" x14ac:dyDescent="0.3"/>
    <row r="2" spans="1:15" ht="12.75" hidden="1" customHeight="1" x14ac:dyDescent="0.3"/>
    <row r="3" spans="1:15" ht="12.75" customHeight="1" x14ac:dyDescent="0.3">
      <c r="B3" s="132"/>
      <c r="C3" s="132"/>
      <c r="D3" s="132"/>
      <c r="E3" s="133"/>
      <c r="F3" s="132"/>
      <c r="G3" s="133"/>
      <c r="H3" s="132"/>
      <c r="I3" s="133"/>
      <c r="J3" s="132"/>
      <c r="K3" s="133"/>
      <c r="L3" s="132"/>
      <c r="M3" s="133"/>
      <c r="N3" s="132"/>
      <c r="O3" s="133"/>
    </row>
    <row r="4" spans="1:15" s="136" customFormat="1" ht="31.5" customHeight="1" x14ac:dyDescent="0.3">
      <c r="A4" s="192" t="s">
        <v>160</v>
      </c>
      <c r="B4" s="191"/>
      <c r="C4" s="191"/>
      <c r="D4" s="135" t="s">
        <v>410</v>
      </c>
      <c r="E4" s="133"/>
      <c r="F4" s="132"/>
      <c r="G4" s="133"/>
      <c r="H4" s="132"/>
      <c r="I4" s="133"/>
      <c r="J4" s="132"/>
      <c r="K4" s="133"/>
      <c r="L4" s="132"/>
      <c r="M4" s="133"/>
      <c r="N4" s="132"/>
      <c r="O4" s="133"/>
    </row>
    <row r="5" spans="1:15" s="136" customFormat="1" ht="17.25" x14ac:dyDescent="0.3">
      <c r="A5" s="190" t="s">
        <v>154</v>
      </c>
      <c r="B5" s="187"/>
      <c r="C5" s="187"/>
      <c r="D5" s="188" t="s">
        <v>161</v>
      </c>
      <c r="E5" s="283"/>
      <c r="F5" s="188"/>
      <c r="G5" s="283"/>
      <c r="H5" s="188"/>
      <c r="I5" s="283"/>
      <c r="J5" s="188"/>
      <c r="K5" s="283"/>
      <c r="L5" s="188"/>
      <c r="M5" s="283"/>
      <c r="N5" s="188"/>
      <c r="O5" s="133"/>
    </row>
    <row r="6" spans="1:15" ht="10.5" customHeight="1" thickBot="1" x14ac:dyDescent="0.35">
      <c r="A6" s="137"/>
      <c r="B6" s="137"/>
      <c r="C6" s="137"/>
      <c r="D6" s="137"/>
      <c r="E6" s="215"/>
      <c r="F6" s="137"/>
      <c r="G6" s="215"/>
      <c r="H6" s="137"/>
      <c r="I6" s="215"/>
      <c r="J6" s="337"/>
      <c r="K6" s="337"/>
      <c r="L6" s="337"/>
      <c r="M6" s="337"/>
      <c r="N6" s="337"/>
      <c r="O6" s="337"/>
    </row>
    <row r="7" spans="1:15" s="141" customFormat="1" ht="60" customHeight="1" thickBot="1" x14ac:dyDescent="0.35">
      <c r="A7" s="227"/>
      <c r="B7" s="228" t="s">
        <v>140</v>
      </c>
      <c r="C7" s="228"/>
      <c r="D7" s="338" t="s">
        <v>477</v>
      </c>
      <c r="E7" s="338"/>
      <c r="F7" s="341" t="s">
        <v>480</v>
      </c>
      <c r="G7" s="341"/>
      <c r="H7" s="341" t="s">
        <v>409</v>
      </c>
      <c r="I7" s="341"/>
      <c r="J7" s="341" t="s">
        <v>408</v>
      </c>
      <c r="K7" s="341"/>
      <c r="L7" s="341" t="s">
        <v>407</v>
      </c>
      <c r="M7" s="341"/>
      <c r="N7" s="341" t="s">
        <v>406</v>
      </c>
      <c r="O7" s="341"/>
    </row>
    <row r="8" spans="1:15" s="146" customFormat="1" ht="15" x14ac:dyDescent="0.25">
      <c r="A8" s="143">
        <v>2007</v>
      </c>
      <c r="B8" s="143"/>
      <c r="C8" s="213"/>
      <c r="D8" s="144">
        <v>15866</v>
      </c>
      <c r="E8" s="145" t="s">
        <v>508</v>
      </c>
      <c r="F8" s="144">
        <v>5165</v>
      </c>
      <c r="G8" s="145" t="s">
        <v>508</v>
      </c>
      <c r="H8" s="144">
        <v>7625</v>
      </c>
      <c r="I8" s="145" t="s">
        <v>508</v>
      </c>
      <c r="J8" s="144">
        <v>2531</v>
      </c>
      <c r="K8" s="145" t="s">
        <v>508</v>
      </c>
      <c r="L8" s="144">
        <v>417</v>
      </c>
      <c r="M8" s="145" t="s">
        <v>508</v>
      </c>
      <c r="N8" s="144">
        <v>128</v>
      </c>
      <c r="O8" s="145" t="s">
        <v>508</v>
      </c>
    </row>
    <row r="9" spans="1:15" s="146" customFormat="1" ht="12.75" customHeight="1" x14ac:dyDescent="0.25">
      <c r="A9" s="143">
        <v>2008</v>
      </c>
      <c r="B9" s="143"/>
      <c r="C9" s="213"/>
      <c r="D9" s="144">
        <v>21072</v>
      </c>
      <c r="E9" s="145" t="s">
        <v>508</v>
      </c>
      <c r="F9" s="144">
        <v>5494</v>
      </c>
      <c r="G9" s="145" t="s">
        <v>508</v>
      </c>
      <c r="H9" s="144">
        <v>9995</v>
      </c>
      <c r="I9" s="145" t="s">
        <v>508</v>
      </c>
      <c r="J9" s="144">
        <v>4808</v>
      </c>
      <c r="K9" s="145" t="s">
        <v>508</v>
      </c>
      <c r="L9" s="144">
        <v>586</v>
      </c>
      <c r="M9" s="145" t="s">
        <v>508</v>
      </c>
      <c r="N9" s="144">
        <v>189</v>
      </c>
      <c r="O9" s="145" t="s">
        <v>508</v>
      </c>
    </row>
    <row r="10" spans="1:15" s="146" customFormat="1" ht="12.75" customHeight="1" x14ac:dyDescent="0.25">
      <c r="A10" s="143">
        <v>2009</v>
      </c>
      <c r="B10" s="143"/>
      <c r="C10" s="213"/>
      <c r="D10" s="144">
        <v>24011</v>
      </c>
      <c r="E10" s="145" t="s">
        <v>508</v>
      </c>
      <c r="F10" s="144">
        <v>5643</v>
      </c>
      <c r="G10" s="145" t="s">
        <v>508</v>
      </c>
      <c r="H10" s="144">
        <v>13509</v>
      </c>
      <c r="I10" s="145" t="s">
        <v>508</v>
      </c>
      <c r="J10" s="144">
        <v>4019</v>
      </c>
      <c r="K10" s="145" t="s">
        <v>508</v>
      </c>
      <c r="L10" s="144">
        <v>723</v>
      </c>
      <c r="M10" s="145" t="s">
        <v>508</v>
      </c>
      <c r="N10" s="144">
        <v>117</v>
      </c>
      <c r="O10" s="145" t="s">
        <v>508</v>
      </c>
    </row>
    <row r="11" spans="1:15" s="146" customFormat="1" ht="12.75" customHeight="1" x14ac:dyDescent="0.25">
      <c r="A11" s="143">
        <v>2010</v>
      </c>
      <c r="B11" s="143"/>
      <c r="C11" s="213"/>
      <c r="D11" s="144">
        <v>19795</v>
      </c>
      <c r="E11" s="145" t="s">
        <v>508</v>
      </c>
      <c r="F11" s="144">
        <v>4792</v>
      </c>
      <c r="G11" s="145" t="s">
        <v>508</v>
      </c>
      <c r="H11" s="144">
        <v>11506</v>
      </c>
      <c r="I11" s="145" t="s">
        <v>508</v>
      </c>
      <c r="J11" s="144">
        <v>2682</v>
      </c>
      <c r="K11" s="145" t="s">
        <v>508</v>
      </c>
      <c r="L11" s="144">
        <v>766</v>
      </c>
      <c r="M11" s="145" t="s">
        <v>508</v>
      </c>
      <c r="N11" s="144">
        <v>49</v>
      </c>
      <c r="O11" s="145" t="s">
        <v>508</v>
      </c>
    </row>
    <row r="12" spans="1:15" s="146" customFormat="1" ht="12.75" customHeight="1" x14ac:dyDescent="0.25">
      <c r="A12" s="143">
        <v>2011</v>
      </c>
      <c r="B12" s="143"/>
      <c r="C12" s="213"/>
      <c r="D12" s="144">
        <v>20285</v>
      </c>
      <c r="E12" s="145" t="s">
        <v>508</v>
      </c>
      <c r="F12" s="144">
        <v>5003</v>
      </c>
      <c r="G12" s="145" t="s">
        <v>508</v>
      </c>
      <c r="H12" s="144">
        <v>11947</v>
      </c>
      <c r="I12" s="145" t="s">
        <v>508</v>
      </c>
      <c r="J12" s="144">
        <v>2539</v>
      </c>
      <c r="K12" s="145" t="s">
        <v>508</v>
      </c>
      <c r="L12" s="144">
        <v>748</v>
      </c>
      <c r="M12" s="145" t="s">
        <v>508</v>
      </c>
      <c r="N12" s="144">
        <v>48</v>
      </c>
      <c r="O12" s="145" t="s">
        <v>508</v>
      </c>
    </row>
    <row r="13" spans="1:15" s="146" customFormat="1" ht="12.75" customHeight="1" x14ac:dyDescent="0.25">
      <c r="A13" s="143">
        <v>2012</v>
      </c>
      <c r="B13" s="143"/>
      <c r="C13" s="213"/>
      <c r="D13" s="144">
        <v>19349</v>
      </c>
      <c r="E13" s="145" t="s">
        <v>508</v>
      </c>
      <c r="F13" s="144">
        <v>4261</v>
      </c>
      <c r="G13" s="145" t="s">
        <v>508</v>
      </c>
      <c r="H13" s="144">
        <v>11906</v>
      </c>
      <c r="I13" s="145" t="s">
        <v>508</v>
      </c>
      <c r="J13" s="144">
        <v>2334</v>
      </c>
      <c r="K13" s="145" t="s">
        <v>508</v>
      </c>
      <c r="L13" s="144">
        <v>816</v>
      </c>
      <c r="M13" s="145" t="s">
        <v>508</v>
      </c>
      <c r="N13" s="144">
        <v>32</v>
      </c>
      <c r="O13" s="145" t="s">
        <v>508</v>
      </c>
    </row>
    <row r="14" spans="1:15" s="146" customFormat="1" ht="12.75" customHeight="1" x14ac:dyDescent="0.25">
      <c r="A14" s="143">
        <v>2013</v>
      </c>
      <c r="B14" s="143"/>
      <c r="C14" s="213"/>
      <c r="D14" s="144">
        <v>17682</v>
      </c>
      <c r="E14" s="145" t="s">
        <v>508</v>
      </c>
      <c r="F14" s="144">
        <v>3632</v>
      </c>
      <c r="G14" s="145" t="s">
        <v>508</v>
      </c>
      <c r="H14" s="144">
        <v>11453</v>
      </c>
      <c r="I14" s="145" t="s">
        <v>508</v>
      </c>
      <c r="J14" s="144">
        <v>2009</v>
      </c>
      <c r="K14" s="145" t="s">
        <v>508</v>
      </c>
      <c r="L14" s="144">
        <v>571</v>
      </c>
      <c r="M14" s="145" t="s">
        <v>508</v>
      </c>
      <c r="N14" s="144">
        <v>17</v>
      </c>
      <c r="O14" s="145" t="s">
        <v>508</v>
      </c>
    </row>
    <row r="15" spans="1:15" s="146" customFormat="1" ht="12.75" customHeight="1" x14ac:dyDescent="0.25">
      <c r="A15" s="143">
        <v>2014</v>
      </c>
      <c r="B15" s="143"/>
      <c r="C15" s="213"/>
      <c r="D15" s="144">
        <v>16317</v>
      </c>
      <c r="E15" s="145" t="s">
        <v>280</v>
      </c>
      <c r="F15" s="144">
        <v>3755</v>
      </c>
      <c r="G15" s="145" t="s">
        <v>508</v>
      </c>
      <c r="H15" s="144">
        <v>10399</v>
      </c>
      <c r="I15" s="145" t="s">
        <v>280</v>
      </c>
      <c r="J15" s="144">
        <v>1587</v>
      </c>
      <c r="K15" s="145" t="s">
        <v>508</v>
      </c>
      <c r="L15" s="144">
        <v>554</v>
      </c>
      <c r="M15" s="145" t="s">
        <v>508</v>
      </c>
      <c r="N15" s="144">
        <v>22</v>
      </c>
      <c r="O15" s="145" t="s">
        <v>508</v>
      </c>
    </row>
    <row r="16" spans="1:15" s="146" customFormat="1" ht="12.75" customHeight="1" x14ac:dyDescent="0.25">
      <c r="A16" s="143">
        <v>2015</v>
      </c>
      <c r="B16" s="143"/>
      <c r="C16" s="213"/>
      <c r="D16" s="144">
        <v>14660</v>
      </c>
      <c r="E16" s="145" t="s">
        <v>280</v>
      </c>
      <c r="F16" s="144">
        <v>2889</v>
      </c>
      <c r="G16" s="145" t="s">
        <v>508</v>
      </c>
      <c r="H16" s="144">
        <v>9995</v>
      </c>
      <c r="I16" s="145" t="s">
        <v>280</v>
      </c>
      <c r="J16" s="144">
        <v>1402</v>
      </c>
      <c r="K16" s="145" t="s">
        <v>508</v>
      </c>
      <c r="L16" s="144">
        <v>363</v>
      </c>
      <c r="M16" s="145" t="s">
        <v>508</v>
      </c>
      <c r="N16" s="144">
        <v>11</v>
      </c>
      <c r="O16" s="145" t="s">
        <v>508</v>
      </c>
    </row>
    <row r="17" spans="1:15" s="146" customFormat="1" ht="12.75" customHeight="1" x14ac:dyDescent="0.25">
      <c r="A17" s="143">
        <v>2016</v>
      </c>
      <c r="B17" s="213" t="s">
        <v>508</v>
      </c>
      <c r="D17" s="144">
        <v>16532</v>
      </c>
      <c r="E17" s="145" t="s">
        <v>280</v>
      </c>
      <c r="F17" s="144">
        <v>2919</v>
      </c>
      <c r="G17" s="145" t="s">
        <v>280</v>
      </c>
      <c r="H17" s="144">
        <v>11890</v>
      </c>
      <c r="I17" s="145" t="s">
        <v>280</v>
      </c>
      <c r="J17" s="144">
        <v>1374</v>
      </c>
      <c r="K17" s="145" t="s">
        <v>280</v>
      </c>
      <c r="L17" s="144">
        <v>344</v>
      </c>
      <c r="M17" s="145" t="s">
        <v>280</v>
      </c>
      <c r="N17" s="144">
        <v>5</v>
      </c>
      <c r="O17" s="145" t="s">
        <v>508</v>
      </c>
    </row>
    <row r="18" spans="1:15" s="142" customFormat="1" ht="12.75" customHeight="1" x14ac:dyDescent="0.25">
      <c r="A18" s="148"/>
      <c r="B18" s="148"/>
      <c r="C18" s="218"/>
      <c r="D18" s="149"/>
      <c r="E18" s="154"/>
      <c r="F18" s="149"/>
      <c r="G18" s="154"/>
      <c r="H18" s="149"/>
      <c r="I18" s="154"/>
      <c r="J18" s="149"/>
      <c r="K18" s="154"/>
      <c r="L18" s="149"/>
      <c r="M18" s="154"/>
      <c r="N18" s="149"/>
      <c r="O18" s="154"/>
    </row>
    <row r="19" spans="1:15" s="142" customFormat="1" ht="12.75" customHeight="1" x14ac:dyDescent="0.25">
      <c r="A19" s="151">
        <v>2007</v>
      </c>
      <c r="B19" s="152" t="s">
        <v>1</v>
      </c>
      <c r="C19" s="219"/>
      <c r="D19" s="153">
        <v>4088</v>
      </c>
      <c r="E19" s="154" t="s">
        <v>508</v>
      </c>
      <c r="F19" s="153">
        <v>1384</v>
      </c>
      <c r="G19" s="154" t="s">
        <v>508</v>
      </c>
      <c r="H19" s="153">
        <v>1926</v>
      </c>
      <c r="I19" s="154" t="s">
        <v>508</v>
      </c>
      <c r="J19" s="153">
        <v>653</v>
      </c>
      <c r="K19" s="154" t="s">
        <v>508</v>
      </c>
      <c r="L19" s="153">
        <v>95</v>
      </c>
      <c r="M19" s="154" t="s">
        <v>508</v>
      </c>
      <c r="N19" s="153">
        <v>30</v>
      </c>
      <c r="O19" s="154" t="s">
        <v>508</v>
      </c>
    </row>
    <row r="20" spans="1:15" s="142" customFormat="1" ht="12.75" customHeight="1" x14ac:dyDescent="0.25">
      <c r="A20" s="151"/>
      <c r="B20" s="152" t="s">
        <v>2</v>
      </c>
      <c r="C20" s="219"/>
      <c r="D20" s="153">
        <v>3918</v>
      </c>
      <c r="E20" s="154" t="s">
        <v>508</v>
      </c>
      <c r="F20" s="153">
        <v>1399</v>
      </c>
      <c r="G20" s="154" t="s">
        <v>508</v>
      </c>
      <c r="H20" s="153">
        <v>1804</v>
      </c>
      <c r="I20" s="154" t="s">
        <v>508</v>
      </c>
      <c r="J20" s="153">
        <v>577</v>
      </c>
      <c r="K20" s="154" t="s">
        <v>508</v>
      </c>
      <c r="L20" s="153">
        <v>103</v>
      </c>
      <c r="M20" s="154" t="s">
        <v>508</v>
      </c>
      <c r="N20" s="153">
        <v>35</v>
      </c>
      <c r="O20" s="154" t="s">
        <v>508</v>
      </c>
    </row>
    <row r="21" spans="1:15" s="142" customFormat="1" ht="12.75" customHeight="1" x14ac:dyDescent="0.25">
      <c r="A21" s="151"/>
      <c r="B21" s="152" t="s">
        <v>3</v>
      </c>
      <c r="C21" s="219"/>
      <c r="D21" s="153">
        <v>3958</v>
      </c>
      <c r="E21" s="154" t="s">
        <v>508</v>
      </c>
      <c r="F21" s="153">
        <v>1234</v>
      </c>
      <c r="G21" s="154" t="s">
        <v>508</v>
      </c>
      <c r="H21" s="153">
        <v>1918</v>
      </c>
      <c r="I21" s="154" t="s">
        <v>508</v>
      </c>
      <c r="J21" s="153">
        <v>660</v>
      </c>
      <c r="K21" s="154" t="s">
        <v>508</v>
      </c>
      <c r="L21" s="153">
        <v>120</v>
      </c>
      <c r="M21" s="154" t="s">
        <v>508</v>
      </c>
      <c r="N21" s="153">
        <v>26</v>
      </c>
      <c r="O21" s="154" t="s">
        <v>508</v>
      </c>
    </row>
    <row r="22" spans="1:15" s="142" customFormat="1" ht="12.75" customHeight="1" x14ac:dyDescent="0.25">
      <c r="A22" s="151"/>
      <c r="B22" s="152" t="s">
        <v>4</v>
      </c>
      <c r="C22" s="219"/>
      <c r="D22" s="153">
        <v>3902</v>
      </c>
      <c r="E22" s="154" t="s">
        <v>508</v>
      </c>
      <c r="F22" s="153">
        <v>1148</v>
      </c>
      <c r="G22" s="154" t="s">
        <v>508</v>
      </c>
      <c r="H22" s="153">
        <v>1977</v>
      </c>
      <c r="I22" s="154" t="s">
        <v>508</v>
      </c>
      <c r="J22" s="153">
        <v>641</v>
      </c>
      <c r="K22" s="154" t="s">
        <v>508</v>
      </c>
      <c r="L22" s="153">
        <v>99</v>
      </c>
      <c r="M22" s="154" t="s">
        <v>508</v>
      </c>
      <c r="N22" s="153">
        <v>37</v>
      </c>
      <c r="O22" s="154" t="s">
        <v>508</v>
      </c>
    </row>
    <row r="23" spans="1:15" s="142" customFormat="1" ht="12.75" customHeight="1" x14ac:dyDescent="0.25">
      <c r="A23" s="151"/>
      <c r="B23" s="152"/>
      <c r="C23" s="219"/>
      <c r="D23" s="153"/>
      <c r="E23" s="154"/>
      <c r="F23" s="153"/>
      <c r="G23" s="154"/>
      <c r="H23" s="153"/>
      <c r="I23" s="154"/>
      <c r="J23" s="153"/>
      <c r="K23" s="154"/>
      <c r="L23" s="153"/>
      <c r="M23" s="154"/>
      <c r="N23" s="153"/>
      <c r="O23" s="154"/>
    </row>
    <row r="24" spans="1:15" s="142" customFormat="1" ht="12.75" customHeight="1" x14ac:dyDescent="0.25">
      <c r="A24" s="151">
        <v>2008</v>
      </c>
      <c r="B24" s="152" t="s">
        <v>1</v>
      </c>
      <c r="C24" s="219"/>
      <c r="D24" s="153">
        <v>4282</v>
      </c>
      <c r="E24" s="154" t="s">
        <v>508</v>
      </c>
      <c r="F24" s="153">
        <v>1080</v>
      </c>
      <c r="G24" s="154" t="s">
        <v>508</v>
      </c>
      <c r="H24" s="153">
        <v>2189</v>
      </c>
      <c r="I24" s="154" t="s">
        <v>508</v>
      </c>
      <c r="J24" s="153">
        <v>850</v>
      </c>
      <c r="K24" s="154" t="s">
        <v>508</v>
      </c>
      <c r="L24" s="153">
        <v>134</v>
      </c>
      <c r="M24" s="154" t="s">
        <v>508</v>
      </c>
      <c r="N24" s="153">
        <v>29</v>
      </c>
      <c r="O24" s="154" t="s">
        <v>508</v>
      </c>
    </row>
    <row r="25" spans="1:15" s="142" customFormat="1" ht="12.75" customHeight="1" x14ac:dyDescent="0.25">
      <c r="A25" s="151"/>
      <c r="B25" s="152" t="s">
        <v>2</v>
      </c>
      <c r="C25" s="219"/>
      <c r="D25" s="153">
        <v>4638</v>
      </c>
      <c r="E25" s="154" t="s">
        <v>508</v>
      </c>
      <c r="F25" s="153">
        <v>1410</v>
      </c>
      <c r="G25" s="154" t="s">
        <v>508</v>
      </c>
      <c r="H25" s="153">
        <v>2165</v>
      </c>
      <c r="I25" s="154" t="s">
        <v>508</v>
      </c>
      <c r="J25" s="153">
        <v>915</v>
      </c>
      <c r="K25" s="154" t="s">
        <v>508</v>
      </c>
      <c r="L25" s="153">
        <v>123</v>
      </c>
      <c r="M25" s="154" t="s">
        <v>508</v>
      </c>
      <c r="N25" s="153">
        <v>25</v>
      </c>
      <c r="O25" s="154" t="s">
        <v>508</v>
      </c>
    </row>
    <row r="26" spans="1:15" s="142" customFormat="1" ht="12.75" customHeight="1" x14ac:dyDescent="0.25">
      <c r="A26" s="151"/>
      <c r="B26" s="152" t="s">
        <v>3</v>
      </c>
      <c r="C26" s="219"/>
      <c r="D26" s="153">
        <v>6085</v>
      </c>
      <c r="E26" s="154" t="s">
        <v>508</v>
      </c>
      <c r="F26" s="153">
        <v>1467</v>
      </c>
      <c r="G26" s="154" t="s">
        <v>508</v>
      </c>
      <c r="H26" s="153">
        <v>2612</v>
      </c>
      <c r="I26" s="154" t="s">
        <v>508</v>
      </c>
      <c r="J26" s="153">
        <v>1740</v>
      </c>
      <c r="K26" s="154" t="s">
        <v>508</v>
      </c>
      <c r="L26" s="153">
        <v>179</v>
      </c>
      <c r="M26" s="154" t="s">
        <v>508</v>
      </c>
      <c r="N26" s="153">
        <v>87</v>
      </c>
      <c r="O26" s="154" t="s">
        <v>508</v>
      </c>
    </row>
    <row r="27" spans="1:15" s="142" customFormat="1" ht="12.75" customHeight="1" x14ac:dyDescent="0.25">
      <c r="A27" s="151"/>
      <c r="B27" s="152" t="s">
        <v>4</v>
      </c>
      <c r="C27" s="219"/>
      <c r="D27" s="153">
        <v>6067</v>
      </c>
      <c r="E27" s="154" t="s">
        <v>508</v>
      </c>
      <c r="F27" s="153">
        <v>1537</v>
      </c>
      <c r="G27" s="154" t="s">
        <v>508</v>
      </c>
      <c r="H27" s="153">
        <v>3029</v>
      </c>
      <c r="I27" s="154" t="s">
        <v>508</v>
      </c>
      <c r="J27" s="153">
        <v>1303</v>
      </c>
      <c r="K27" s="154" t="s">
        <v>508</v>
      </c>
      <c r="L27" s="153">
        <v>150</v>
      </c>
      <c r="M27" s="154" t="s">
        <v>508</v>
      </c>
      <c r="N27" s="153">
        <v>48</v>
      </c>
      <c r="O27" s="154" t="s">
        <v>508</v>
      </c>
    </row>
    <row r="28" spans="1:15" s="142" customFormat="1" ht="12.75" customHeight="1" x14ac:dyDescent="0.25">
      <c r="A28" s="151"/>
      <c r="B28" s="152"/>
      <c r="C28" s="219"/>
      <c r="D28" s="153"/>
      <c r="E28" s="154"/>
      <c r="F28" s="153"/>
      <c r="G28" s="154"/>
      <c r="H28" s="153"/>
      <c r="I28" s="154"/>
      <c r="J28" s="153"/>
      <c r="K28" s="154"/>
      <c r="L28" s="153"/>
      <c r="M28" s="154"/>
      <c r="N28" s="153"/>
      <c r="O28" s="154"/>
    </row>
    <row r="29" spans="1:15" s="142" customFormat="1" ht="12.75" customHeight="1" x14ac:dyDescent="0.25">
      <c r="A29" s="151">
        <v>2009</v>
      </c>
      <c r="B29" s="152" t="s">
        <v>1</v>
      </c>
      <c r="C29" s="219"/>
      <c r="D29" s="153">
        <v>6736</v>
      </c>
      <c r="E29" s="154" t="s">
        <v>508</v>
      </c>
      <c r="F29" s="153">
        <v>1555</v>
      </c>
      <c r="G29" s="154" t="s">
        <v>508</v>
      </c>
      <c r="H29" s="153">
        <v>3693</v>
      </c>
      <c r="I29" s="154" t="s">
        <v>508</v>
      </c>
      <c r="J29" s="153">
        <v>1301</v>
      </c>
      <c r="K29" s="154" t="s">
        <v>508</v>
      </c>
      <c r="L29" s="153">
        <v>161</v>
      </c>
      <c r="M29" s="154" t="s">
        <v>508</v>
      </c>
      <c r="N29" s="153">
        <v>26</v>
      </c>
      <c r="O29" s="154" t="s">
        <v>508</v>
      </c>
    </row>
    <row r="30" spans="1:15" s="142" customFormat="1" ht="12.75" customHeight="1" x14ac:dyDescent="0.25">
      <c r="A30" s="151"/>
      <c r="B30" s="152" t="s">
        <v>2</v>
      </c>
      <c r="C30" s="219"/>
      <c r="D30" s="153">
        <v>6188</v>
      </c>
      <c r="E30" s="154" t="s">
        <v>508</v>
      </c>
      <c r="F30" s="153">
        <v>1520</v>
      </c>
      <c r="G30" s="154" t="s">
        <v>508</v>
      </c>
      <c r="H30" s="153">
        <v>3499</v>
      </c>
      <c r="I30" s="154" t="s">
        <v>508</v>
      </c>
      <c r="J30" s="153">
        <v>984</v>
      </c>
      <c r="K30" s="154" t="s">
        <v>508</v>
      </c>
      <c r="L30" s="153">
        <v>141</v>
      </c>
      <c r="M30" s="154" t="s">
        <v>508</v>
      </c>
      <c r="N30" s="153">
        <v>44</v>
      </c>
      <c r="O30" s="154" t="s">
        <v>508</v>
      </c>
    </row>
    <row r="31" spans="1:15" s="142" customFormat="1" ht="12.75" customHeight="1" x14ac:dyDescent="0.25">
      <c r="A31" s="151"/>
      <c r="B31" s="152" t="s">
        <v>3</v>
      </c>
      <c r="C31" s="219"/>
      <c r="D31" s="153">
        <v>5653</v>
      </c>
      <c r="E31" s="154" t="s">
        <v>508</v>
      </c>
      <c r="F31" s="153">
        <v>1253</v>
      </c>
      <c r="G31" s="154" t="s">
        <v>508</v>
      </c>
      <c r="H31" s="153">
        <v>3260</v>
      </c>
      <c r="I31" s="154" t="s">
        <v>508</v>
      </c>
      <c r="J31" s="153">
        <v>920</v>
      </c>
      <c r="K31" s="154" t="s">
        <v>508</v>
      </c>
      <c r="L31" s="153">
        <v>203</v>
      </c>
      <c r="M31" s="154" t="s">
        <v>508</v>
      </c>
      <c r="N31" s="153">
        <v>17</v>
      </c>
      <c r="O31" s="154" t="s">
        <v>508</v>
      </c>
    </row>
    <row r="32" spans="1:15" s="142" customFormat="1" ht="12.75" customHeight="1" x14ac:dyDescent="0.25">
      <c r="A32" s="151"/>
      <c r="B32" s="152" t="s">
        <v>4</v>
      </c>
      <c r="C32" s="219"/>
      <c r="D32" s="153">
        <v>5434</v>
      </c>
      <c r="E32" s="154" t="s">
        <v>508</v>
      </c>
      <c r="F32" s="153">
        <v>1315</v>
      </c>
      <c r="G32" s="154" t="s">
        <v>508</v>
      </c>
      <c r="H32" s="153">
        <v>3057</v>
      </c>
      <c r="I32" s="154" t="s">
        <v>508</v>
      </c>
      <c r="J32" s="153">
        <v>814</v>
      </c>
      <c r="K32" s="154" t="s">
        <v>508</v>
      </c>
      <c r="L32" s="153">
        <v>218</v>
      </c>
      <c r="M32" s="154" t="s">
        <v>508</v>
      </c>
      <c r="N32" s="153">
        <v>30</v>
      </c>
      <c r="O32" s="154" t="s">
        <v>508</v>
      </c>
    </row>
    <row r="33" spans="1:15" s="142" customFormat="1" ht="12.75" customHeight="1" x14ac:dyDescent="0.25">
      <c r="A33" s="151"/>
      <c r="B33" s="152"/>
      <c r="C33" s="219"/>
      <c r="D33" s="153"/>
      <c r="E33" s="154"/>
      <c r="F33" s="153"/>
      <c r="G33" s="154"/>
      <c r="H33" s="153"/>
      <c r="I33" s="154"/>
      <c r="J33" s="153"/>
      <c r="K33" s="154"/>
      <c r="L33" s="153"/>
      <c r="M33" s="154"/>
      <c r="N33" s="153"/>
      <c r="O33" s="154"/>
    </row>
    <row r="34" spans="1:15" s="142" customFormat="1" ht="12.75" customHeight="1" x14ac:dyDescent="0.25">
      <c r="A34" s="151">
        <v>2010</v>
      </c>
      <c r="B34" s="152" t="s">
        <v>1</v>
      </c>
      <c r="C34" s="219"/>
      <c r="D34" s="153">
        <v>5382</v>
      </c>
      <c r="E34" s="154" t="s">
        <v>508</v>
      </c>
      <c r="F34" s="153">
        <v>1330</v>
      </c>
      <c r="G34" s="154" t="s">
        <v>508</v>
      </c>
      <c r="H34" s="153">
        <v>3095</v>
      </c>
      <c r="I34" s="154" t="s">
        <v>508</v>
      </c>
      <c r="J34" s="153">
        <v>734</v>
      </c>
      <c r="K34" s="154" t="s">
        <v>508</v>
      </c>
      <c r="L34" s="153">
        <v>209</v>
      </c>
      <c r="M34" s="154" t="s">
        <v>508</v>
      </c>
      <c r="N34" s="153">
        <v>14</v>
      </c>
      <c r="O34" s="154" t="s">
        <v>508</v>
      </c>
    </row>
    <row r="35" spans="1:15" s="142" customFormat="1" ht="12.75" customHeight="1" x14ac:dyDescent="0.25">
      <c r="A35" s="151"/>
      <c r="B35" s="152" t="s">
        <v>2</v>
      </c>
      <c r="C35" s="219"/>
      <c r="D35" s="153">
        <v>4917</v>
      </c>
      <c r="E35" s="154" t="s">
        <v>508</v>
      </c>
      <c r="F35" s="153">
        <v>1185</v>
      </c>
      <c r="G35" s="154" t="s">
        <v>508</v>
      </c>
      <c r="H35" s="153">
        <v>2826</v>
      </c>
      <c r="I35" s="154" t="s">
        <v>508</v>
      </c>
      <c r="J35" s="153">
        <v>677</v>
      </c>
      <c r="K35" s="154" t="s">
        <v>508</v>
      </c>
      <c r="L35" s="153">
        <v>222</v>
      </c>
      <c r="M35" s="154" t="s">
        <v>508</v>
      </c>
      <c r="N35" s="153">
        <v>7</v>
      </c>
      <c r="O35" s="154" t="s">
        <v>508</v>
      </c>
    </row>
    <row r="36" spans="1:15" s="142" customFormat="1" ht="12.75" customHeight="1" x14ac:dyDescent="0.25">
      <c r="A36" s="151"/>
      <c r="B36" s="152" t="s">
        <v>3</v>
      </c>
      <c r="C36" s="219"/>
      <c r="D36" s="153">
        <v>4699</v>
      </c>
      <c r="E36" s="154" t="s">
        <v>508</v>
      </c>
      <c r="F36" s="153">
        <v>1082</v>
      </c>
      <c r="G36" s="154" t="s">
        <v>508</v>
      </c>
      <c r="H36" s="153">
        <v>2821</v>
      </c>
      <c r="I36" s="154" t="s">
        <v>508</v>
      </c>
      <c r="J36" s="153">
        <v>619</v>
      </c>
      <c r="K36" s="154" t="s">
        <v>508</v>
      </c>
      <c r="L36" s="153">
        <v>155</v>
      </c>
      <c r="M36" s="154" t="s">
        <v>508</v>
      </c>
      <c r="N36" s="153">
        <v>22</v>
      </c>
      <c r="O36" s="154" t="s">
        <v>508</v>
      </c>
    </row>
    <row r="37" spans="1:15" s="142" customFormat="1" ht="12.75" customHeight="1" x14ac:dyDescent="0.25">
      <c r="A37" s="151"/>
      <c r="B37" s="152" t="s">
        <v>4</v>
      </c>
      <c r="C37" s="219"/>
      <c r="D37" s="153">
        <v>4797</v>
      </c>
      <c r="E37" s="154" t="s">
        <v>508</v>
      </c>
      <c r="F37" s="153">
        <v>1195</v>
      </c>
      <c r="G37" s="154" t="s">
        <v>508</v>
      </c>
      <c r="H37" s="153">
        <v>2764</v>
      </c>
      <c r="I37" s="154" t="s">
        <v>508</v>
      </c>
      <c r="J37" s="153">
        <v>652</v>
      </c>
      <c r="K37" s="154" t="s">
        <v>508</v>
      </c>
      <c r="L37" s="153">
        <v>180</v>
      </c>
      <c r="M37" s="154" t="s">
        <v>508</v>
      </c>
      <c r="N37" s="153">
        <v>6</v>
      </c>
      <c r="O37" s="154" t="s">
        <v>508</v>
      </c>
    </row>
    <row r="38" spans="1:15" s="142" customFormat="1" ht="12.75" customHeight="1" x14ac:dyDescent="0.25">
      <c r="A38" s="151"/>
      <c r="B38" s="152"/>
      <c r="C38" s="219"/>
      <c r="D38" s="153"/>
      <c r="E38" s="154"/>
      <c r="F38" s="153"/>
      <c r="G38" s="154"/>
      <c r="H38" s="153"/>
      <c r="I38" s="154"/>
      <c r="J38" s="153"/>
      <c r="K38" s="154"/>
      <c r="L38" s="153"/>
      <c r="M38" s="154"/>
      <c r="N38" s="153"/>
      <c r="O38" s="154"/>
    </row>
    <row r="39" spans="1:15" s="142" customFormat="1" ht="12.75" customHeight="1" x14ac:dyDescent="0.25">
      <c r="A39" s="151">
        <v>2011</v>
      </c>
      <c r="B39" s="152" t="s">
        <v>1</v>
      </c>
      <c r="C39" s="219"/>
      <c r="D39" s="153">
        <v>5076</v>
      </c>
      <c r="E39" s="154" t="s">
        <v>508</v>
      </c>
      <c r="F39" s="153">
        <v>1111</v>
      </c>
      <c r="G39" s="154" t="s">
        <v>508</v>
      </c>
      <c r="H39" s="153">
        <v>3130</v>
      </c>
      <c r="I39" s="154" t="s">
        <v>508</v>
      </c>
      <c r="J39" s="153">
        <v>663</v>
      </c>
      <c r="K39" s="154" t="s">
        <v>508</v>
      </c>
      <c r="L39" s="153">
        <v>164</v>
      </c>
      <c r="M39" s="154" t="s">
        <v>508</v>
      </c>
      <c r="N39" s="153">
        <v>8</v>
      </c>
      <c r="O39" s="154" t="s">
        <v>508</v>
      </c>
    </row>
    <row r="40" spans="1:15" s="142" customFormat="1" ht="12.75" customHeight="1" x14ac:dyDescent="0.25">
      <c r="A40" s="151"/>
      <c r="B40" s="152" t="s">
        <v>2</v>
      </c>
      <c r="C40" s="219"/>
      <c r="D40" s="153">
        <v>5164</v>
      </c>
      <c r="E40" s="154" t="s">
        <v>508</v>
      </c>
      <c r="F40" s="153">
        <v>1317</v>
      </c>
      <c r="G40" s="154" t="s">
        <v>508</v>
      </c>
      <c r="H40" s="153">
        <v>3011</v>
      </c>
      <c r="I40" s="154" t="s">
        <v>508</v>
      </c>
      <c r="J40" s="153">
        <v>644</v>
      </c>
      <c r="K40" s="154" t="s">
        <v>508</v>
      </c>
      <c r="L40" s="153">
        <v>183</v>
      </c>
      <c r="M40" s="154" t="s">
        <v>508</v>
      </c>
      <c r="N40" s="153">
        <v>9</v>
      </c>
      <c r="O40" s="154" t="s">
        <v>508</v>
      </c>
    </row>
    <row r="41" spans="1:15" s="142" customFormat="1" ht="12.75" customHeight="1" x14ac:dyDescent="0.25">
      <c r="A41" s="151"/>
      <c r="B41" s="152" t="s">
        <v>3</v>
      </c>
      <c r="C41" s="219"/>
      <c r="D41" s="153">
        <v>4951</v>
      </c>
      <c r="E41" s="154" t="s">
        <v>508</v>
      </c>
      <c r="F41" s="153">
        <v>1149</v>
      </c>
      <c r="G41" s="154" t="s">
        <v>508</v>
      </c>
      <c r="H41" s="153">
        <v>2967</v>
      </c>
      <c r="I41" s="154" t="s">
        <v>508</v>
      </c>
      <c r="J41" s="153">
        <v>613</v>
      </c>
      <c r="K41" s="154" t="s">
        <v>508</v>
      </c>
      <c r="L41" s="153">
        <v>209</v>
      </c>
      <c r="M41" s="154" t="s">
        <v>508</v>
      </c>
      <c r="N41" s="153">
        <v>13</v>
      </c>
      <c r="O41" s="154" t="s">
        <v>508</v>
      </c>
    </row>
    <row r="42" spans="1:15" s="142" customFormat="1" ht="12.75" customHeight="1" x14ac:dyDescent="0.25">
      <c r="A42" s="151"/>
      <c r="B42" s="152" t="s">
        <v>4</v>
      </c>
      <c r="C42" s="219"/>
      <c r="D42" s="153">
        <v>5094</v>
      </c>
      <c r="E42" s="154" t="s">
        <v>508</v>
      </c>
      <c r="F42" s="153">
        <v>1426</v>
      </c>
      <c r="G42" s="154" t="s">
        <v>508</v>
      </c>
      <c r="H42" s="153">
        <v>2839</v>
      </c>
      <c r="I42" s="154" t="s">
        <v>508</v>
      </c>
      <c r="J42" s="153">
        <v>619</v>
      </c>
      <c r="K42" s="154" t="s">
        <v>508</v>
      </c>
      <c r="L42" s="153">
        <v>192</v>
      </c>
      <c r="M42" s="154" t="s">
        <v>508</v>
      </c>
      <c r="N42" s="153">
        <v>18</v>
      </c>
      <c r="O42" s="154" t="s">
        <v>508</v>
      </c>
    </row>
    <row r="43" spans="1:15" s="142" customFormat="1" ht="12.75" customHeight="1" x14ac:dyDescent="0.25">
      <c r="A43" s="151"/>
      <c r="B43" s="152"/>
      <c r="C43" s="219"/>
      <c r="D43" s="153"/>
      <c r="E43" s="154"/>
      <c r="F43" s="153"/>
      <c r="G43" s="154"/>
      <c r="H43" s="153"/>
      <c r="I43" s="154"/>
      <c r="J43" s="153"/>
      <c r="K43" s="154"/>
      <c r="L43" s="153"/>
      <c r="M43" s="154"/>
      <c r="N43" s="153"/>
      <c r="O43" s="154"/>
    </row>
    <row r="44" spans="1:15" s="142" customFormat="1" ht="12.75" customHeight="1" x14ac:dyDescent="0.25">
      <c r="A44" s="151">
        <v>2012</v>
      </c>
      <c r="B44" s="152" t="s">
        <v>1</v>
      </c>
      <c r="C44" s="219"/>
      <c r="D44" s="153">
        <v>5452</v>
      </c>
      <c r="E44" s="154" t="s">
        <v>508</v>
      </c>
      <c r="F44" s="153">
        <v>1233</v>
      </c>
      <c r="G44" s="154" t="s">
        <v>508</v>
      </c>
      <c r="H44" s="153">
        <v>3299</v>
      </c>
      <c r="I44" s="154" t="s">
        <v>508</v>
      </c>
      <c r="J44" s="153">
        <v>733</v>
      </c>
      <c r="K44" s="154" t="s">
        <v>508</v>
      </c>
      <c r="L44" s="153">
        <v>176</v>
      </c>
      <c r="M44" s="154" t="s">
        <v>508</v>
      </c>
      <c r="N44" s="153">
        <v>11</v>
      </c>
      <c r="O44" s="154" t="s">
        <v>508</v>
      </c>
    </row>
    <row r="45" spans="1:15" s="142" customFormat="1" ht="12.75" customHeight="1" x14ac:dyDescent="0.25">
      <c r="A45" s="151"/>
      <c r="B45" s="152" t="s">
        <v>2</v>
      </c>
      <c r="C45" s="219"/>
      <c r="D45" s="153">
        <v>4891</v>
      </c>
      <c r="E45" s="154" t="s">
        <v>508</v>
      </c>
      <c r="F45" s="153">
        <v>1031</v>
      </c>
      <c r="G45" s="154" t="s">
        <v>508</v>
      </c>
      <c r="H45" s="153">
        <v>2969</v>
      </c>
      <c r="I45" s="154" t="s">
        <v>508</v>
      </c>
      <c r="J45" s="153">
        <v>558</v>
      </c>
      <c r="K45" s="154" t="s">
        <v>508</v>
      </c>
      <c r="L45" s="153">
        <v>325</v>
      </c>
      <c r="M45" s="154" t="s">
        <v>508</v>
      </c>
      <c r="N45" s="153">
        <v>8</v>
      </c>
      <c r="O45" s="154" t="s">
        <v>508</v>
      </c>
    </row>
    <row r="46" spans="1:15" s="142" customFormat="1" ht="12.75" customHeight="1" x14ac:dyDescent="0.25">
      <c r="A46" s="151"/>
      <c r="B46" s="152" t="s">
        <v>3</v>
      </c>
      <c r="C46" s="219"/>
      <c r="D46" s="153">
        <v>4603</v>
      </c>
      <c r="E46" s="154" t="s">
        <v>508</v>
      </c>
      <c r="F46" s="153">
        <v>1043</v>
      </c>
      <c r="G46" s="154" t="s">
        <v>508</v>
      </c>
      <c r="H46" s="153">
        <v>2875</v>
      </c>
      <c r="I46" s="154" t="s">
        <v>508</v>
      </c>
      <c r="J46" s="153">
        <v>511</v>
      </c>
      <c r="K46" s="154" t="s">
        <v>508</v>
      </c>
      <c r="L46" s="153">
        <v>165</v>
      </c>
      <c r="M46" s="154" t="s">
        <v>508</v>
      </c>
      <c r="N46" s="153">
        <v>9</v>
      </c>
      <c r="O46" s="154" t="s">
        <v>508</v>
      </c>
    </row>
    <row r="47" spans="1:15" s="142" customFormat="1" ht="12.75" customHeight="1" x14ac:dyDescent="0.25">
      <c r="A47" s="151"/>
      <c r="B47" s="152" t="s">
        <v>4</v>
      </c>
      <c r="C47" s="219"/>
      <c r="D47" s="153">
        <v>4403</v>
      </c>
      <c r="E47" s="154" t="s">
        <v>508</v>
      </c>
      <c r="F47" s="153">
        <v>954</v>
      </c>
      <c r="G47" s="154" t="s">
        <v>508</v>
      </c>
      <c r="H47" s="153">
        <v>2763</v>
      </c>
      <c r="I47" s="154" t="s">
        <v>508</v>
      </c>
      <c r="J47" s="153">
        <v>532</v>
      </c>
      <c r="K47" s="154" t="s">
        <v>508</v>
      </c>
      <c r="L47" s="153">
        <v>150</v>
      </c>
      <c r="M47" s="154" t="s">
        <v>508</v>
      </c>
      <c r="N47" s="153">
        <v>4</v>
      </c>
      <c r="O47" s="154" t="s">
        <v>508</v>
      </c>
    </row>
    <row r="48" spans="1:15" s="142" customFormat="1" ht="12.75" customHeight="1" x14ac:dyDescent="0.25">
      <c r="A48" s="151"/>
      <c r="B48" s="152"/>
      <c r="C48" s="219"/>
      <c r="D48" s="153"/>
      <c r="E48" s="154"/>
      <c r="F48" s="153"/>
      <c r="G48" s="154"/>
      <c r="H48" s="153"/>
      <c r="I48" s="154"/>
      <c r="J48" s="153"/>
      <c r="K48" s="154"/>
      <c r="L48" s="153"/>
      <c r="M48" s="154"/>
      <c r="N48" s="153"/>
      <c r="O48" s="154"/>
    </row>
    <row r="49" spans="1:15" s="142" customFormat="1" ht="12.75" customHeight="1" x14ac:dyDescent="0.25">
      <c r="A49" s="151">
        <v>2013</v>
      </c>
      <c r="B49" s="152" t="s">
        <v>1</v>
      </c>
      <c r="C49" s="219"/>
      <c r="D49" s="153">
        <v>4584</v>
      </c>
      <c r="E49" s="154" t="s">
        <v>508</v>
      </c>
      <c r="F49" s="153">
        <v>973</v>
      </c>
      <c r="G49" s="154" t="s">
        <v>508</v>
      </c>
      <c r="H49" s="153">
        <v>2916</v>
      </c>
      <c r="I49" s="154" t="s">
        <v>508</v>
      </c>
      <c r="J49" s="153">
        <v>553</v>
      </c>
      <c r="K49" s="154" t="s">
        <v>508</v>
      </c>
      <c r="L49" s="153">
        <v>138</v>
      </c>
      <c r="M49" s="154" t="s">
        <v>508</v>
      </c>
      <c r="N49" s="153">
        <v>4</v>
      </c>
      <c r="O49" s="154" t="s">
        <v>508</v>
      </c>
    </row>
    <row r="50" spans="1:15" s="142" customFormat="1" ht="12.75" customHeight="1" x14ac:dyDescent="0.25">
      <c r="A50" s="151"/>
      <c r="B50" s="152" t="s">
        <v>2</v>
      </c>
      <c r="C50" s="219"/>
      <c r="D50" s="153">
        <v>4702</v>
      </c>
      <c r="E50" s="154" t="s">
        <v>508</v>
      </c>
      <c r="F50" s="153">
        <v>1039</v>
      </c>
      <c r="G50" s="154" t="s">
        <v>508</v>
      </c>
      <c r="H50" s="153">
        <v>3009</v>
      </c>
      <c r="I50" s="154" t="s">
        <v>508</v>
      </c>
      <c r="J50" s="153">
        <v>492</v>
      </c>
      <c r="K50" s="154" t="s">
        <v>508</v>
      </c>
      <c r="L50" s="153">
        <v>155</v>
      </c>
      <c r="M50" s="154" t="s">
        <v>508</v>
      </c>
      <c r="N50" s="153">
        <v>7</v>
      </c>
      <c r="O50" s="154" t="s">
        <v>508</v>
      </c>
    </row>
    <row r="51" spans="1:15" s="142" customFormat="1" ht="12.75" customHeight="1" x14ac:dyDescent="0.25">
      <c r="A51" s="151"/>
      <c r="B51" s="152" t="s">
        <v>3</v>
      </c>
      <c r="C51" s="219"/>
      <c r="D51" s="153">
        <v>4309</v>
      </c>
      <c r="E51" s="154" t="s">
        <v>508</v>
      </c>
      <c r="F51" s="153">
        <v>921</v>
      </c>
      <c r="G51" s="154" t="s">
        <v>508</v>
      </c>
      <c r="H51" s="153">
        <v>2775</v>
      </c>
      <c r="I51" s="154" t="s">
        <v>508</v>
      </c>
      <c r="J51" s="153">
        <v>465</v>
      </c>
      <c r="K51" s="154" t="s">
        <v>508</v>
      </c>
      <c r="L51" s="153">
        <v>144</v>
      </c>
      <c r="M51" s="154" t="s">
        <v>508</v>
      </c>
      <c r="N51" s="153">
        <v>4</v>
      </c>
      <c r="O51" s="154" t="s">
        <v>508</v>
      </c>
    </row>
    <row r="52" spans="1:15" s="142" customFormat="1" ht="12.75" customHeight="1" x14ac:dyDescent="0.25">
      <c r="A52" s="151"/>
      <c r="B52" s="152" t="s">
        <v>4</v>
      </c>
      <c r="C52" s="219"/>
      <c r="D52" s="153">
        <v>4087</v>
      </c>
      <c r="E52" s="154" t="s">
        <v>508</v>
      </c>
      <c r="F52" s="153">
        <v>699</v>
      </c>
      <c r="G52" s="154" t="s">
        <v>508</v>
      </c>
      <c r="H52" s="153">
        <v>2753</v>
      </c>
      <c r="I52" s="154" t="s">
        <v>508</v>
      </c>
      <c r="J52" s="153">
        <v>499</v>
      </c>
      <c r="K52" s="154" t="s">
        <v>508</v>
      </c>
      <c r="L52" s="153">
        <v>134</v>
      </c>
      <c r="M52" s="154" t="s">
        <v>508</v>
      </c>
      <c r="N52" s="153">
        <v>2</v>
      </c>
      <c r="O52" s="154" t="s">
        <v>508</v>
      </c>
    </row>
    <row r="53" spans="1:15" s="142" customFormat="1" ht="12.75" customHeight="1" x14ac:dyDescent="0.25">
      <c r="A53" s="151"/>
      <c r="B53" s="152"/>
      <c r="C53" s="219"/>
      <c r="D53" s="153"/>
      <c r="E53" s="154"/>
      <c r="F53" s="153"/>
      <c r="G53" s="154"/>
      <c r="H53" s="153"/>
      <c r="I53" s="154"/>
      <c r="J53" s="153"/>
      <c r="K53" s="154"/>
      <c r="L53" s="153"/>
      <c r="M53" s="154"/>
      <c r="N53" s="153"/>
      <c r="O53" s="154"/>
    </row>
    <row r="54" spans="1:15" s="142" customFormat="1" ht="12.75" customHeight="1" x14ac:dyDescent="0.25">
      <c r="A54" s="151">
        <v>2014</v>
      </c>
      <c r="B54" s="152" t="s">
        <v>1</v>
      </c>
      <c r="C54" s="219"/>
      <c r="D54" s="153">
        <v>4577</v>
      </c>
      <c r="E54" s="154" t="s">
        <v>508</v>
      </c>
      <c r="F54" s="153">
        <v>1075</v>
      </c>
      <c r="G54" s="154" t="s">
        <v>508</v>
      </c>
      <c r="H54" s="153">
        <v>2867</v>
      </c>
      <c r="I54" s="154" t="s">
        <v>508</v>
      </c>
      <c r="J54" s="153">
        <v>490</v>
      </c>
      <c r="K54" s="154" t="s">
        <v>508</v>
      </c>
      <c r="L54" s="153">
        <v>134</v>
      </c>
      <c r="M54" s="154" t="s">
        <v>508</v>
      </c>
      <c r="N54" s="153">
        <v>11</v>
      </c>
      <c r="O54" s="154" t="s">
        <v>508</v>
      </c>
    </row>
    <row r="55" spans="1:15" s="142" customFormat="1" ht="12.75" customHeight="1" x14ac:dyDescent="0.25">
      <c r="A55" s="151"/>
      <c r="B55" s="152" t="s">
        <v>2</v>
      </c>
      <c r="C55" s="219"/>
      <c r="D55" s="153">
        <v>4033</v>
      </c>
      <c r="E55" s="154" t="s">
        <v>508</v>
      </c>
      <c r="F55" s="153">
        <v>983</v>
      </c>
      <c r="G55" s="154" t="s">
        <v>508</v>
      </c>
      <c r="H55" s="153">
        <v>2537</v>
      </c>
      <c r="I55" s="154" t="s">
        <v>508</v>
      </c>
      <c r="J55" s="153">
        <v>355</v>
      </c>
      <c r="K55" s="154" t="s">
        <v>508</v>
      </c>
      <c r="L55" s="153">
        <v>151</v>
      </c>
      <c r="M55" s="154" t="s">
        <v>508</v>
      </c>
      <c r="N55" s="153">
        <v>7</v>
      </c>
      <c r="O55" s="154" t="s">
        <v>508</v>
      </c>
    </row>
    <row r="56" spans="1:15" s="142" customFormat="1" ht="12.75" customHeight="1" x14ac:dyDescent="0.25">
      <c r="A56" s="151"/>
      <c r="B56" s="152" t="s">
        <v>3</v>
      </c>
      <c r="C56" s="219"/>
      <c r="D56" s="153">
        <v>3862</v>
      </c>
      <c r="E56" s="154" t="s">
        <v>508</v>
      </c>
      <c r="F56" s="153">
        <v>864</v>
      </c>
      <c r="G56" s="154" t="s">
        <v>508</v>
      </c>
      <c r="H56" s="153">
        <v>2502</v>
      </c>
      <c r="I56" s="154" t="s">
        <v>508</v>
      </c>
      <c r="J56" s="153">
        <v>363</v>
      </c>
      <c r="K56" s="154" t="s">
        <v>508</v>
      </c>
      <c r="L56" s="153">
        <v>132</v>
      </c>
      <c r="M56" s="154" t="s">
        <v>508</v>
      </c>
      <c r="N56" s="153">
        <v>1</v>
      </c>
      <c r="O56" s="154" t="s">
        <v>508</v>
      </c>
    </row>
    <row r="57" spans="1:15" s="142" customFormat="1" ht="12.75" customHeight="1" x14ac:dyDescent="0.25">
      <c r="A57" s="151"/>
      <c r="B57" s="152" t="s">
        <v>4</v>
      </c>
      <c r="C57" s="219"/>
      <c r="D57" s="153">
        <v>3845</v>
      </c>
      <c r="E57" s="154" t="s">
        <v>280</v>
      </c>
      <c r="F57" s="153">
        <v>833</v>
      </c>
      <c r="G57" s="154" t="s">
        <v>508</v>
      </c>
      <c r="H57" s="153">
        <v>2493</v>
      </c>
      <c r="I57" s="154" t="s">
        <v>280</v>
      </c>
      <c r="J57" s="153">
        <v>379</v>
      </c>
      <c r="K57" s="154" t="s">
        <v>508</v>
      </c>
      <c r="L57" s="153">
        <v>137</v>
      </c>
      <c r="M57" s="154" t="s">
        <v>508</v>
      </c>
      <c r="N57" s="153">
        <v>3</v>
      </c>
      <c r="O57" s="154" t="s">
        <v>508</v>
      </c>
    </row>
    <row r="58" spans="1:15" s="142" customFormat="1" ht="12.75" customHeight="1" x14ac:dyDescent="0.25">
      <c r="A58" s="151"/>
      <c r="B58" s="152"/>
      <c r="C58" s="219"/>
      <c r="D58" s="153"/>
      <c r="E58" s="154"/>
      <c r="F58" s="153"/>
      <c r="G58" s="154"/>
      <c r="H58" s="153"/>
      <c r="I58" s="154"/>
      <c r="J58" s="153"/>
      <c r="K58" s="154"/>
      <c r="L58" s="153"/>
      <c r="M58" s="154"/>
      <c r="N58" s="153"/>
      <c r="O58" s="154"/>
    </row>
    <row r="59" spans="1:15" s="142" customFormat="1" ht="12.75" customHeight="1" x14ac:dyDescent="0.25">
      <c r="A59" s="151">
        <v>2015</v>
      </c>
      <c r="B59" s="152" t="s">
        <v>1</v>
      </c>
      <c r="C59" s="219"/>
      <c r="D59" s="153">
        <v>4013</v>
      </c>
      <c r="E59" s="154" t="s">
        <v>508</v>
      </c>
      <c r="F59" s="153">
        <v>908</v>
      </c>
      <c r="G59" s="154" t="s">
        <v>508</v>
      </c>
      <c r="H59" s="153">
        <v>2663</v>
      </c>
      <c r="I59" s="154" t="s">
        <v>508</v>
      </c>
      <c r="J59" s="153">
        <v>354</v>
      </c>
      <c r="K59" s="154" t="s">
        <v>508</v>
      </c>
      <c r="L59" s="153">
        <v>87</v>
      </c>
      <c r="M59" s="154" t="s">
        <v>508</v>
      </c>
      <c r="N59" s="153">
        <v>1</v>
      </c>
      <c r="O59" s="154" t="s">
        <v>508</v>
      </c>
    </row>
    <row r="60" spans="1:15" s="142" customFormat="1" ht="12.75" customHeight="1" x14ac:dyDescent="0.25">
      <c r="A60" s="151"/>
      <c r="B60" s="152" t="s">
        <v>2</v>
      </c>
      <c r="C60" s="219"/>
      <c r="D60" s="153">
        <v>3652</v>
      </c>
      <c r="E60" s="154" t="s">
        <v>508</v>
      </c>
      <c r="F60" s="153">
        <v>770</v>
      </c>
      <c r="G60" s="154" t="s">
        <v>508</v>
      </c>
      <c r="H60" s="153">
        <v>2433</v>
      </c>
      <c r="I60" s="154" t="s">
        <v>508</v>
      </c>
      <c r="J60" s="153">
        <v>357</v>
      </c>
      <c r="K60" s="154" t="s">
        <v>508</v>
      </c>
      <c r="L60" s="153">
        <v>85</v>
      </c>
      <c r="M60" s="154" t="s">
        <v>508</v>
      </c>
      <c r="N60" s="153">
        <v>7</v>
      </c>
      <c r="O60" s="154" t="s">
        <v>508</v>
      </c>
    </row>
    <row r="61" spans="1:15" s="142" customFormat="1" ht="12.75" customHeight="1" x14ac:dyDescent="0.25">
      <c r="A61" s="151"/>
      <c r="B61" s="152" t="s">
        <v>3</v>
      </c>
      <c r="C61" s="219"/>
      <c r="D61" s="153">
        <v>3525</v>
      </c>
      <c r="E61" s="154" t="s">
        <v>508</v>
      </c>
      <c r="F61" s="153">
        <v>617</v>
      </c>
      <c r="G61" s="154" t="s">
        <v>508</v>
      </c>
      <c r="H61" s="153">
        <v>2461</v>
      </c>
      <c r="I61" s="154" t="s">
        <v>508</v>
      </c>
      <c r="J61" s="153">
        <v>336</v>
      </c>
      <c r="K61" s="154" t="s">
        <v>508</v>
      </c>
      <c r="L61" s="153">
        <v>110</v>
      </c>
      <c r="M61" s="154" t="s">
        <v>508</v>
      </c>
      <c r="N61" s="153">
        <v>1</v>
      </c>
      <c r="O61" s="154" t="s">
        <v>508</v>
      </c>
    </row>
    <row r="62" spans="1:15" s="142" customFormat="1" ht="12.75" customHeight="1" x14ac:dyDescent="0.25">
      <c r="A62" s="151"/>
      <c r="B62" s="152" t="s">
        <v>4</v>
      </c>
      <c r="C62" s="219"/>
      <c r="D62" s="153">
        <v>3470</v>
      </c>
      <c r="E62" s="154" t="s">
        <v>280</v>
      </c>
      <c r="F62" s="153">
        <v>594</v>
      </c>
      <c r="G62" s="154" t="s">
        <v>508</v>
      </c>
      <c r="H62" s="153">
        <v>2438</v>
      </c>
      <c r="I62" s="154" t="s">
        <v>280</v>
      </c>
      <c r="J62" s="153">
        <v>355</v>
      </c>
      <c r="K62" s="154" t="s">
        <v>508</v>
      </c>
      <c r="L62" s="153">
        <v>81</v>
      </c>
      <c r="M62" s="154" t="s">
        <v>508</v>
      </c>
      <c r="N62" s="153">
        <v>2</v>
      </c>
      <c r="O62" s="154" t="s">
        <v>508</v>
      </c>
    </row>
    <row r="63" spans="1:15" s="142" customFormat="1" ht="12.75" customHeight="1" x14ac:dyDescent="0.25">
      <c r="A63" s="151"/>
      <c r="B63" s="152"/>
      <c r="C63" s="219"/>
      <c r="D63" s="153"/>
      <c r="E63" s="154"/>
      <c r="F63" s="153"/>
      <c r="G63" s="154"/>
      <c r="H63" s="153"/>
      <c r="I63" s="154"/>
      <c r="J63" s="153"/>
      <c r="K63" s="154"/>
      <c r="L63" s="153"/>
      <c r="M63" s="154"/>
      <c r="N63" s="153"/>
      <c r="O63" s="154"/>
    </row>
    <row r="64" spans="1:15" s="142" customFormat="1" ht="12.75" customHeight="1" x14ac:dyDescent="0.25">
      <c r="A64" s="151">
        <v>2016</v>
      </c>
      <c r="B64" s="152" t="s">
        <v>1</v>
      </c>
      <c r="C64" s="219" t="s">
        <v>197</v>
      </c>
      <c r="D64" s="153">
        <v>3842</v>
      </c>
      <c r="E64" s="154" t="s">
        <v>508</v>
      </c>
      <c r="F64" s="153">
        <v>813</v>
      </c>
      <c r="G64" s="154" t="s">
        <v>508</v>
      </c>
      <c r="H64" s="153">
        <v>2624</v>
      </c>
      <c r="I64" s="154" t="s">
        <v>508</v>
      </c>
      <c r="J64" s="153">
        <v>321</v>
      </c>
      <c r="K64" s="154" t="s">
        <v>508</v>
      </c>
      <c r="L64" s="153">
        <v>84</v>
      </c>
      <c r="M64" s="154" t="s">
        <v>508</v>
      </c>
      <c r="N64" s="153">
        <v>0</v>
      </c>
      <c r="O64" s="154" t="s">
        <v>508</v>
      </c>
    </row>
    <row r="65" spans="1:27" s="142" customFormat="1" ht="12.75" customHeight="1" x14ac:dyDescent="0.25">
      <c r="A65" s="151"/>
      <c r="B65" s="152" t="s">
        <v>2</v>
      </c>
      <c r="C65" s="219" t="s">
        <v>197</v>
      </c>
      <c r="D65" s="153">
        <v>3588</v>
      </c>
      <c r="E65" s="154" t="s">
        <v>280</v>
      </c>
      <c r="F65" s="153">
        <v>662</v>
      </c>
      <c r="G65" s="154" t="s">
        <v>508</v>
      </c>
      <c r="H65" s="153">
        <v>2487</v>
      </c>
      <c r="I65" s="154" t="s">
        <v>280</v>
      </c>
      <c r="J65" s="153">
        <v>331</v>
      </c>
      <c r="K65" s="154" t="s">
        <v>508</v>
      </c>
      <c r="L65" s="153">
        <v>108</v>
      </c>
      <c r="M65" s="154" t="s">
        <v>508</v>
      </c>
      <c r="N65" s="153">
        <v>0</v>
      </c>
      <c r="O65" s="154" t="s">
        <v>508</v>
      </c>
    </row>
    <row r="66" spans="1:27" s="142" customFormat="1" ht="12.75" customHeight="1" x14ac:dyDescent="0.25">
      <c r="A66" s="151"/>
      <c r="B66" s="152" t="s">
        <v>3</v>
      </c>
      <c r="C66" s="219" t="s">
        <v>197</v>
      </c>
      <c r="D66" s="153">
        <v>3570</v>
      </c>
      <c r="E66" s="154" t="s">
        <v>280</v>
      </c>
      <c r="F66" s="153">
        <v>635</v>
      </c>
      <c r="G66" s="154" t="s">
        <v>508</v>
      </c>
      <c r="H66" s="153">
        <v>2502</v>
      </c>
      <c r="I66" s="154" t="s">
        <v>508</v>
      </c>
      <c r="J66" s="153">
        <v>358</v>
      </c>
      <c r="K66" s="154" t="s">
        <v>280</v>
      </c>
      <c r="L66" s="153">
        <v>70</v>
      </c>
      <c r="M66" s="154" t="s">
        <v>280</v>
      </c>
      <c r="N66" s="153">
        <v>5</v>
      </c>
      <c r="O66" s="154" t="s">
        <v>508</v>
      </c>
    </row>
    <row r="67" spans="1:27" s="142" customFormat="1" ht="12.75" customHeight="1" x14ac:dyDescent="0.25">
      <c r="A67" s="152"/>
      <c r="B67" s="152" t="s">
        <v>4</v>
      </c>
      <c r="C67" s="219" t="s">
        <v>197</v>
      </c>
      <c r="D67" s="153">
        <v>5532</v>
      </c>
      <c r="E67" s="154" t="s">
        <v>280</v>
      </c>
      <c r="F67" s="153">
        <v>809</v>
      </c>
      <c r="G67" s="154" t="s">
        <v>280</v>
      </c>
      <c r="H67" s="153">
        <v>4277</v>
      </c>
      <c r="I67" s="154" t="s">
        <v>280</v>
      </c>
      <c r="J67" s="153">
        <v>364</v>
      </c>
      <c r="K67" s="154" t="s">
        <v>280</v>
      </c>
      <c r="L67" s="153">
        <v>82</v>
      </c>
      <c r="M67" s="154" t="s">
        <v>280</v>
      </c>
      <c r="N67" s="153">
        <v>0</v>
      </c>
      <c r="O67" s="154" t="s">
        <v>508</v>
      </c>
    </row>
    <row r="68" spans="1:27" s="142" customFormat="1" ht="12.75" customHeight="1" x14ac:dyDescent="0.25">
      <c r="A68" s="151"/>
      <c r="B68" s="152"/>
      <c r="C68" s="219"/>
      <c r="D68" s="153"/>
      <c r="E68" s="154"/>
      <c r="F68" s="153"/>
      <c r="G68" s="154"/>
      <c r="H68" s="153"/>
      <c r="I68" s="154"/>
      <c r="J68" s="153"/>
      <c r="K68" s="154"/>
      <c r="L68" s="153"/>
      <c r="M68" s="154"/>
      <c r="N68" s="153"/>
      <c r="O68" s="154"/>
    </row>
    <row r="69" spans="1:27" s="142" customFormat="1" ht="12.75" customHeight="1" x14ac:dyDescent="0.25">
      <c r="A69" s="151">
        <v>2017</v>
      </c>
      <c r="B69" s="152" t="s">
        <v>1</v>
      </c>
      <c r="C69" s="219" t="s">
        <v>415</v>
      </c>
      <c r="D69" s="153">
        <v>4157</v>
      </c>
      <c r="E69" s="154" t="s">
        <v>508</v>
      </c>
      <c r="F69" s="153">
        <v>836</v>
      </c>
      <c r="G69" s="154" t="s">
        <v>508</v>
      </c>
      <c r="H69" s="153">
        <v>2880</v>
      </c>
      <c r="I69" s="154" t="s">
        <v>508</v>
      </c>
      <c r="J69" s="153">
        <v>360</v>
      </c>
      <c r="K69" s="154" t="s">
        <v>508</v>
      </c>
      <c r="L69" s="153">
        <v>81</v>
      </c>
      <c r="M69" s="154" t="s">
        <v>508</v>
      </c>
      <c r="N69" s="153">
        <v>0</v>
      </c>
      <c r="O69" s="154" t="s">
        <v>508</v>
      </c>
      <c r="AA69" s="142" t="s">
        <v>508</v>
      </c>
    </row>
    <row r="70" spans="1:27" s="142" customFormat="1" ht="12.75" customHeight="1" thickBot="1" x14ac:dyDescent="0.3">
      <c r="A70" s="152"/>
      <c r="B70" s="156"/>
      <c r="C70" s="156"/>
      <c r="D70" s="153"/>
      <c r="E70" s="154"/>
      <c r="F70" s="153"/>
      <c r="G70" s="154"/>
      <c r="H70" s="153"/>
      <c r="I70" s="154"/>
      <c r="J70" s="153"/>
      <c r="K70" s="154"/>
      <c r="L70" s="153"/>
      <c r="M70" s="154"/>
      <c r="N70" s="153"/>
      <c r="O70" s="154"/>
    </row>
    <row r="71" spans="1:27" s="142" customFormat="1" ht="12.75" customHeight="1" x14ac:dyDescent="0.2">
      <c r="A71" s="159" t="s">
        <v>509</v>
      </c>
      <c r="B71" s="159"/>
      <c r="C71" s="159"/>
      <c r="D71" s="159"/>
      <c r="E71" s="221"/>
      <c r="F71" s="159"/>
      <c r="G71" s="221"/>
      <c r="H71" s="159"/>
      <c r="I71" s="221"/>
      <c r="J71" s="159"/>
      <c r="K71" s="221"/>
      <c r="L71" s="159"/>
      <c r="M71" s="221"/>
      <c r="N71" s="159"/>
      <c r="O71" s="221"/>
    </row>
    <row r="72" spans="1:27" s="142" customFormat="1" ht="12.75" customHeight="1" x14ac:dyDescent="0.2">
      <c r="A72" s="160"/>
      <c r="B72" s="160"/>
      <c r="C72" s="160"/>
      <c r="D72" s="160"/>
      <c r="E72" s="161"/>
      <c r="F72" s="160"/>
      <c r="G72" s="161"/>
      <c r="H72" s="160"/>
      <c r="I72" s="161"/>
      <c r="J72" s="160"/>
      <c r="K72" s="161"/>
      <c r="L72" s="160"/>
      <c r="M72" s="161"/>
      <c r="N72" s="160"/>
      <c r="O72" s="161"/>
    </row>
    <row r="73" spans="1:27" s="142" customFormat="1" ht="12.75" hidden="1" customHeight="1" x14ac:dyDescent="0.2">
      <c r="A73" s="162">
        <v>2016</v>
      </c>
      <c r="B73" s="163" t="s">
        <v>4</v>
      </c>
      <c r="C73" s="163"/>
      <c r="D73" s="164" t="s">
        <v>121</v>
      </c>
      <c r="E73" s="161"/>
      <c r="F73" s="164" t="s">
        <v>121</v>
      </c>
      <c r="G73" s="161"/>
      <c r="H73" s="164" t="s">
        <v>121</v>
      </c>
      <c r="I73" s="161"/>
      <c r="J73" s="164" t="s">
        <v>121</v>
      </c>
      <c r="K73" s="161"/>
      <c r="L73" s="164" t="s">
        <v>121</v>
      </c>
      <c r="M73" s="161"/>
      <c r="N73" s="164" t="s">
        <v>121</v>
      </c>
      <c r="O73" s="161"/>
    </row>
    <row r="74" spans="1:27" s="142" customFormat="1" ht="12.75" hidden="1" customHeight="1" x14ac:dyDescent="0.2">
      <c r="A74" s="165"/>
      <c r="B74" s="166"/>
      <c r="C74" s="166"/>
      <c r="D74" s="167"/>
      <c r="E74" s="281"/>
      <c r="F74" s="167"/>
      <c r="G74" s="281"/>
      <c r="H74" s="167"/>
      <c r="I74" s="281"/>
      <c r="J74" s="167"/>
      <c r="K74" s="281"/>
      <c r="L74" s="167"/>
      <c r="M74" s="281"/>
      <c r="N74" s="167"/>
      <c r="O74" s="281"/>
    </row>
    <row r="75" spans="1:27" s="142" customFormat="1" ht="12.75" customHeight="1" thickBot="1" x14ac:dyDescent="0.25">
      <c r="A75" s="157">
        <v>2016</v>
      </c>
      <c r="B75" s="158" t="s">
        <v>1</v>
      </c>
      <c r="C75" s="158"/>
      <c r="D75" s="168">
        <v>8.1988547631441921</v>
      </c>
      <c r="E75" s="282"/>
      <c r="F75" s="168">
        <v>2.8290282902829089</v>
      </c>
      <c r="G75" s="282"/>
      <c r="H75" s="168">
        <v>9.7560975609756184</v>
      </c>
      <c r="I75" s="282"/>
      <c r="J75" s="168">
        <v>12.149532710280365</v>
      </c>
      <c r="K75" s="282"/>
      <c r="L75" s="168">
        <v>-3.5714285714285698</v>
      </c>
      <c r="M75" s="282"/>
      <c r="N75" s="168" t="s">
        <v>505</v>
      </c>
      <c r="O75" s="282"/>
    </row>
    <row r="76" spans="1:27" s="169" customFormat="1" ht="12.75" customHeight="1" x14ac:dyDescent="0.2">
      <c r="A76" s="342"/>
      <c r="B76" s="342"/>
      <c r="C76" s="342"/>
      <c r="D76" s="342"/>
      <c r="E76" s="342"/>
      <c r="F76" s="342"/>
      <c r="G76" s="342"/>
      <c r="H76" s="342"/>
      <c r="I76" s="342"/>
      <c r="J76" s="342"/>
      <c r="K76" s="342"/>
      <c r="L76" s="342"/>
      <c r="M76" s="342"/>
      <c r="N76" s="342"/>
      <c r="O76" s="342"/>
    </row>
    <row r="77" spans="1:27" s="169" customFormat="1" ht="15" x14ac:dyDescent="0.2">
      <c r="A77" s="340" t="s">
        <v>265</v>
      </c>
      <c r="B77" s="340"/>
      <c r="C77" s="340"/>
      <c r="D77" s="340"/>
      <c r="E77" s="340"/>
      <c r="F77" s="340"/>
      <c r="G77" s="340"/>
      <c r="H77" s="340"/>
      <c r="I77" s="340"/>
      <c r="J77" s="340"/>
      <c r="K77" s="340"/>
      <c r="L77" s="340"/>
      <c r="M77" s="340"/>
      <c r="N77" s="340"/>
      <c r="O77" s="340"/>
    </row>
    <row r="78" spans="1:27" s="169" customFormat="1" ht="32.25" customHeight="1" x14ac:dyDescent="0.2">
      <c r="A78" s="340" t="s">
        <v>474</v>
      </c>
      <c r="B78" s="340"/>
      <c r="C78" s="340"/>
      <c r="D78" s="340"/>
      <c r="E78" s="340"/>
      <c r="F78" s="340"/>
      <c r="G78" s="340"/>
      <c r="H78" s="340"/>
      <c r="I78" s="340"/>
      <c r="J78" s="340"/>
      <c r="K78" s="340"/>
      <c r="L78" s="340"/>
      <c r="M78" s="340"/>
      <c r="N78" s="340"/>
      <c r="O78" s="340"/>
    </row>
    <row r="79" spans="1:27" s="169" customFormat="1" ht="15" x14ac:dyDescent="0.2">
      <c r="A79" s="340" t="s">
        <v>475</v>
      </c>
      <c r="B79" s="340"/>
      <c r="C79" s="340"/>
      <c r="D79" s="340"/>
      <c r="E79" s="340"/>
      <c r="F79" s="340"/>
      <c r="G79" s="340"/>
      <c r="H79" s="340"/>
      <c r="I79" s="340"/>
      <c r="J79" s="340"/>
      <c r="K79" s="340"/>
      <c r="L79" s="340"/>
      <c r="M79" s="340"/>
      <c r="N79" s="340"/>
      <c r="O79" s="340"/>
    </row>
    <row r="80" spans="1:27" s="170" customFormat="1" ht="15" customHeight="1" x14ac:dyDescent="0.3">
      <c r="A80" s="340" t="s">
        <v>476</v>
      </c>
      <c r="B80" s="340"/>
      <c r="C80" s="340"/>
      <c r="D80" s="340"/>
      <c r="E80" s="340"/>
      <c r="F80" s="340"/>
      <c r="G80" s="340"/>
      <c r="H80" s="340"/>
      <c r="I80" s="340"/>
      <c r="J80" s="340"/>
      <c r="K80" s="340"/>
      <c r="L80" s="340"/>
      <c r="M80" s="340"/>
      <c r="N80" s="340"/>
      <c r="O80" s="340"/>
    </row>
    <row r="81" spans="1:15" s="171" customFormat="1" ht="15" x14ac:dyDescent="0.3">
      <c r="A81" s="339" t="s">
        <v>411</v>
      </c>
      <c r="B81" s="339"/>
      <c r="C81" s="339"/>
      <c r="D81" s="339"/>
      <c r="E81" s="339"/>
      <c r="F81" s="339"/>
      <c r="G81" s="339"/>
      <c r="H81" s="339"/>
      <c r="I81" s="339"/>
      <c r="J81" s="339"/>
      <c r="K81" s="339"/>
      <c r="L81" s="339"/>
      <c r="M81" s="339"/>
      <c r="N81" s="339"/>
      <c r="O81" s="339"/>
    </row>
    <row r="82" spans="1:15" s="171" customFormat="1" ht="32.25" customHeight="1" x14ac:dyDescent="0.3">
      <c r="A82" s="340" t="s">
        <v>412</v>
      </c>
      <c r="B82" s="340"/>
      <c r="C82" s="340"/>
      <c r="D82" s="340"/>
      <c r="E82" s="340"/>
      <c r="F82" s="340"/>
      <c r="G82" s="340"/>
      <c r="H82" s="340"/>
      <c r="I82" s="340"/>
      <c r="J82" s="340"/>
      <c r="K82" s="340"/>
      <c r="L82" s="340"/>
      <c r="M82" s="340"/>
      <c r="N82" s="340"/>
      <c r="O82" s="340"/>
    </row>
    <row r="83" spans="1:15" ht="31.5" customHeight="1" x14ac:dyDescent="0.3">
      <c r="A83" s="344" t="s">
        <v>413</v>
      </c>
      <c r="B83" s="344"/>
      <c r="C83" s="344"/>
      <c r="D83" s="344"/>
      <c r="E83" s="344"/>
      <c r="F83" s="344"/>
      <c r="G83" s="344"/>
      <c r="H83" s="344"/>
      <c r="I83" s="344"/>
      <c r="J83" s="344"/>
      <c r="K83" s="344"/>
      <c r="L83" s="344"/>
      <c r="M83" s="344"/>
      <c r="N83" s="344"/>
      <c r="O83" s="344"/>
    </row>
    <row r="84" spans="1:15" ht="30" customHeight="1" x14ac:dyDescent="0.3">
      <c r="A84" s="343" t="s">
        <v>417</v>
      </c>
      <c r="B84" s="343"/>
      <c r="C84" s="343"/>
      <c r="D84" s="343"/>
      <c r="E84" s="343"/>
      <c r="F84" s="343"/>
      <c r="G84" s="343"/>
      <c r="H84" s="343"/>
      <c r="I84" s="343"/>
      <c r="J84" s="343"/>
      <c r="K84" s="343"/>
      <c r="L84" s="343"/>
      <c r="M84" s="343"/>
      <c r="N84" s="343"/>
      <c r="O84" s="343"/>
    </row>
    <row r="85" spans="1:15" ht="32.25" customHeight="1" x14ac:dyDescent="0.3">
      <c r="A85" s="344" t="s">
        <v>414</v>
      </c>
      <c r="B85" s="344"/>
      <c r="C85" s="344"/>
      <c r="D85" s="344"/>
      <c r="E85" s="344"/>
      <c r="F85" s="344"/>
      <c r="G85" s="344"/>
      <c r="H85" s="344"/>
      <c r="I85" s="344"/>
      <c r="J85" s="344"/>
      <c r="K85" s="344"/>
      <c r="L85" s="344"/>
      <c r="M85" s="344"/>
      <c r="N85" s="344"/>
      <c r="O85" s="344"/>
    </row>
    <row r="86" spans="1:15" ht="48" customHeight="1" x14ac:dyDescent="0.3">
      <c r="A86" s="343" t="s">
        <v>486</v>
      </c>
      <c r="B86" s="343"/>
      <c r="C86" s="343"/>
      <c r="D86" s="343"/>
      <c r="E86" s="343"/>
      <c r="F86" s="343"/>
      <c r="G86" s="343"/>
      <c r="H86" s="343"/>
      <c r="I86" s="343"/>
      <c r="J86" s="343"/>
      <c r="K86" s="343"/>
      <c r="L86" s="343"/>
      <c r="M86" s="343"/>
      <c r="N86" s="343"/>
      <c r="O86" s="343"/>
    </row>
  </sheetData>
  <dataConsolidate/>
  <mergeCells count="18">
    <mergeCell ref="A76:O76"/>
    <mergeCell ref="A78:O78"/>
    <mergeCell ref="A80:O80"/>
    <mergeCell ref="A81:O81"/>
    <mergeCell ref="A82:O82"/>
    <mergeCell ref="A77:O77"/>
    <mergeCell ref="J6:O6"/>
    <mergeCell ref="D7:E7"/>
    <mergeCell ref="F7:G7"/>
    <mergeCell ref="H7:I7"/>
    <mergeCell ref="J7:K7"/>
    <mergeCell ref="L7:M7"/>
    <mergeCell ref="N7:O7"/>
    <mergeCell ref="A83:O83"/>
    <mergeCell ref="A84:O84"/>
    <mergeCell ref="A85:O85"/>
    <mergeCell ref="A86:O86"/>
    <mergeCell ref="A79:O79"/>
  </mergeCells>
  <hyperlinks>
    <hyperlink ref="A5" location="'Table Contents'!A1" display="Back to contents"/>
  </hyperlinks>
  <printOptions horizontalCentered="1" verticalCentered="1" gridLinesSet="0"/>
  <pageMargins left="0.19685039370078741" right="0.19685039370078741" top="0.19685039370078741" bottom="0.19685039370078741" header="0.39370078740157483" footer="0.39370078740157483"/>
  <pageSetup paperSize="9" scale="64" orientation="portrait" horizontalDpi="300" verticalDpi="4294967292"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AA81"/>
  <sheetViews>
    <sheetView showGridLines="0" topLeftCell="A3" zoomScaleNormal="100" workbookViewId="0">
      <pane xSplit="3" ySplit="5" topLeftCell="D8" activePane="bottomRight" state="frozen"/>
      <selection activeCell="A66" sqref="A55:K66"/>
      <selection pane="topRight" activeCell="A66" sqref="A55:K66"/>
      <selection pane="bottomLeft" activeCell="A66" sqref="A55:K66"/>
      <selection pane="bottomRight" activeCell="D8" sqref="D8"/>
    </sheetView>
  </sheetViews>
  <sheetFormatPr defaultColWidth="8.85546875" defaultRowHeight="12.75" customHeight="1" x14ac:dyDescent="0.3"/>
  <cols>
    <col min="1" max="1" width="7.42578125" style="131" customWidth="1"/>
    <col min="2" max="3" width="4.85546875" style="131" customWidth="1"/>
    <col min="4" max="4" width="12.7109375" style="172" customWidth="1"/>
    <col min="5" max="5" width="3.85546875" style="174" customWidth="1"/>
    <col min="6" max="16384" width="8.85546875" style="134"/>
  </cols>
  <sheetData>
    <row r="1" spans="1:13" ht="12.75" hidden="1" customHeight="1" x14ac:dyDescent="0.3"/>
    <row r="2" spans="1:13" ht="12.75" hidden="1" customHeight="1" x14ac:dyDescent="0.3"/>
    <row r="3" spans="1:13" ht="12.75" customHeight="1" x14ac:dyDescent="0.3">
      <c r="B3" s="132"/>
      <c r="C3" s="132"/>
      <c r="D3" s="132"/>
      <c r="E3" s="133"/>
    </row>
    <row r="4" spans="1:13" s="136" customFormat="1" ht="31.5" customHeight="1" x14ac:dyDescent="0.3">
      <c r="A4" s="192" t="s">
        <v>164</v>
      </c>
      <c r="B4" s="191"/>
      <c r="C4" s="191"/>
      <c r="D4" s="135" t="s">
        <v>422</v>
      </c>
      <c r="E4" s="133"/>
    </row>
    <row r="5" spans="1:13" s="136" customFormat="1" ht="17.25" x14ac:dyDescent="0.3">
      <c r="A5" s="190" t="s">
        <v>154</v>
      </c>
      <c r="B5" s="187"/>
      <c r="C5" s="187"/>
      <c r="D5" s="188" t="s">
        <v>161</v>
      </c>
      <c r="E5" s="283"/>
    </row>
    <row r="6" spans="1:13" ht="10.5" customHeight="1" thickBot="1" x14ac:dyDescent="0.35">
      <c r="A6" s="137"/>
      <c r="B6" s="137"/>
      <c r="C6" s="137"/>
      <c r="D6" s="137"/>
      <c r="E6" s="215"/>
    </row>
    <row r="7" spans="1:13" s="141" customFormat="1" ht="60" customHeight="1" thickBot="1" x14ac:dyDescent="0.35">
      <c r="A7" s="227"/>
      <c r="B7" s="228" t="s">
        <v>140</v>
      </c>
      <c r="C7" s="228"/>
      <c r="D7" s="341" t="s">
        <v>163</v>
      </c>
      <c r="E7" s="341"/>
      <c r="F7" s="341"/>
      <c r="G7" s="341"/>
      <c r="H7" s="341"/>
      <c r="I7" s="341"/>
      <c r="J7" s="341"/>
      <c r="K7" s="341"/>
      <c r="L7" s="341"/>
      <c r="M7" s="341"/>
    </row>
    <row r="8" spans="1:13" s="146" customFormat="1" ht="15" x14ac:dyDescent="0.25">
      <c r="A8" s="143">
        <v>2007</v>
      </c>
      <c r="B8" s="143"/>
      <c r="C8" s="212"/>
      <c r="D8" s="144">
        <v>1093</v>
      </c>
      <c r="E8" s="145" t="s">
        <v>508</v>
      </c>
    </row>
    <row r="9" spans="1:13" s="146" customFormat="1" ht="12.75" customHeight="1" x14ac:dyDescent="0.25">
      <c r="A9" s="143">
        <v>2008</v>
      </c>
      <c r="B9" s="143"/>
      <c r="C9" s="212"/>
      <c r="D9" s="144">
        <v>990</v>
      </c>
      <c r="E9" s="145" t="s">
        <v>508</v>
      </c>
    </row>
    <row r="10" spans="1:13" s="146" customFormat="1" ht="12.75" customHeight="1" x14ac:dyDescent="0.25">
      <c r="A10" s="143">
        <v>2009</v>
      </c>
      <c r="B10" s="143"/>
      <c r="C10" s="212"/>
      <c r="D10" s="144">
        <v>1454</v>
      </c>
      <c r="E10" s="145" t="s">
        <v>508</v>
      </c>
    </row>
    <row r="11" spans="1:13" s="146" customFormat="1" ht="12.75" customHeight="1" x14ac:dyDescent="0.25">
      <c r="A11" s="143">
        <v>2010</v>
      </c>
      <c r="B11" s="143"/>
      <c r="C11" s="212"/>
      <c r="D11" s="144">
        <v>1473</v>
      </c>
      <c r="E11" s="145" t="s">
        <v>508</v>
      </c>
    </row>
    <row r="12" spans="1:13" s="146" customFormat="1" ht="12.75" customHeight="1" x14ac:dyDescent="0.25">
      <c r="A12" s="143">
        <v>2011</v>
      </c>
      <c r="B12" s="143"/>
      <c r="C12" s="212"/>
      <c r="D12" s="144">
        <v>1122</v>
      </c>
      <c r="E12" s="145" t="s">
        <v>508</v>
      </c>
    </row>
    <row r="13" spans="1:13" s="146" customFormat="1" ht="12.75" customHeight="1" x14ac:dyDescent="0.25">
      <c r="A13" s="143">
        <v>2012</v>
      </c>
      <c r="B13" s="143"/>
      <c r="C13" s="212"/>
      <c r="D13" s="144">
        <v>1003</v>
      </c>
      <c r="E13" s="145" t="s">
        <v>508</v>
      </c>
    </row>
    <row r="14" spans="1:13" s="146" customFormat="1" ht="12.75" customHeight="1" x14ac:dyDescent="0.25">
      <c r="A14" s="143">
        <v>2013</v>
      </c>
      <c r="B14" s="143"/>
      <c r="C14" s="212"/>
      <c r="D14" s="144">
        <v>944</v>
      </c>
      <c r="E14" s="145" t="s">
        <v>508</v>
      </c>
    </row>
    <row r="15" spans="1:13" s="146" customFormat="1" ht="12.75" customHeight="1" x14ac:dyDescent="0.25">
      <c r="A15" s="143">
        <v>2014</v>
      </c>
      <c r="B15" s="143"/>
      <c r="C15" s="212"/>
      <c r="D15" s="144">
        <v>878</v>
      </c>
      <c r="E15" s="145" t="s">
        <v>508</v>
      </c>
    </row>
    <row r="16" spans="1:13" s="146" customFormat="1" ht="12.75" customHeight="1" x14ac:dyDescent="0.25">
      <c r="A16" s="143">
        <v>2015</v>
      </c>
      <c r="B16" s="143"/>
      <c r="C16" s="212"/>
      <c r="D16" s="144">
        <v>631</v>
      </c>
      <c r="E16" s="145" t="s">
        <v>508</v>
      </c>
    </row>
    <row r="17" spans="1:5" s="146" customFormat="1" ht="12.75" customHeight="1" x14ac:dyDescent="0.25">
      <c r="A17" s="143">
        <v>2016</v>
      </c>
      <c r="B17" s="213" t="s">
        <v>508</v>
      </c>
      <c r="D17" s="144">
        <v>430</v>
      </c>
      <c r="E17" s="145" t="s">
        <v>508</v>
      </c>
    </row>
    <row r="18" spans="1:5" s="142" customFormat="1" ht="12.75" customHeight="1" x14ac:dyDescent="0.25">
      <c r="A18" s="148"/>
      <c r="B18" s="148"/>
      <c r="C18" s="148"/>
      <c r="D18" s="149"/>
      <c r="E18" s="154"/>
    </row>
    <row r="19" spans="1:5" s="142" customFormat="1" ht="12.75" customHeight="1" x14ac:dyDescent="0.25">
      <c r="A19" s="151">
        <v>2007</v>
      </c>
      <c r="B19" s="152" t="s">
        <v>1</v>
      </c>
      <c r="C19" s="219"/>
      <c r="D19" s="153">
        <v>276</v>
      </c>
      <c r="E19" s="154" t="s">
        <v>508</v>
      </c>
    </row>
    <row r="20" spans="1:5" s="142" customFormat="1" ht="12.75" customHeight="1" x14ac:dyDescent="0.25">
      <c r="A20" s="151"/>
      <c r="B20" s="152" t="s">
        <v>2</v>
      </c>
      <c r="C20" s="219"/>
      <c r="D20" s="153">
        <v>286</v>
      </c>
      <c r="E20" s="154" t="s">
        <v>508</v>
      </c>
    </row>
    <row r="21" spans="1:5" s="142" customFormat="1" ht="12.75" customHeight="1" x14ac:dyDescent="0.25">
      <c r="A21" s="151"/>
      <c r="B21" s="152" t="s">
        <v>3</v>
      </c>
      <c r="C21" s="219"/>
      <c r="D21" s="153">
        <v>263</v>
      </c>
      <c r="E21" s="154" t="s">
        <v>508</v>
      </c>
    </row>
    <row r="22" spans="1:5" s="142" customFormat="1" ht="12.75" customHeight="1" x14ac:dyDescent="0.25">
      <c r="A22" s="151"/>
      <c r="B22" s="152" t="s">
        <v>4</v>
      </c>
      <c r="C22" s="219"/>
      <c r="D22" s="153">
        <v>268</v>
      </c>
      <c r="E22" s="154" t="s">
        <v>508</v>
      </c>
    </row>
    <row r="23" spans="1:5" s="142" customFormat="1" ht="12.75" customHeight="1" x14ac:dyDescent="0.25">
      <c r="A23" s="151"/>
      <c r="B23" s="152"/>
      <c r="C23" s="219"/>
      <c r="D23" s="153"/>
      <c r="E23" s="154"/>
    </row>
    <row r="24" spans="1:5" s="142" customFormat="1" ht="12.75" customHeight="1" x14ac:dyDescent="0.25">
      <c r="A24" s="151">
        <v>2008</v>
      </c>
      <c r="B24" s="152" t="s">
        <v>1</v>
      </c>
      <c r="C24" s="219"/>
      <c r="D24" s="153">
        <v>270</v>
      </c>
      <c r="E24" s="154" t="s">
        <v>508</v>
      </c>
    </row>
    <row r="25" spans="1:5" s="142" customFormat="1" ht="12.75" customHeight="1" x14ac:dyDescent="0.25">
      <c r="A25" s="151"/>
      <c r="B25" s="152" t="s">
        <v>2</v>
      </c>
      <c r="C25" s="219"/>
      <c r="D25" s="153">
        <v>222</v>
      </c>
      <c r="E25" s="154" t="s">
        <v>508</v>
      </c>
    </row>
    <row r="26" spans="1:5" s="142" customFormat="1" ht="12.75" customHeight="1" x14ac:dyDescent="0.25">
      <c r="A26" s="151"/>
      <c r="B26" s="152" t="s">
        <v>3</v>
      </c>
      <c r="C26" s="219"/>
      <c r="D26" s="153">
        <v>265</v>
      </c>
      <c r="E26" s="154" t="s">
        <v>508</v>
      </c>
    </row>
    <row r="27" spans="1:5" s="142" customFormat="1" ht="12.75" customHeight="1" x14ac:dyDescent="0.25">
      <c r="A27" s="151"/>
      <c r="B27" s="152" t="s">
        <v>4</v>
      </c>
      <c r="C27" s="219"/>
      <c r="D27" s="153">
        <v>233</v>
      </c>
      <c r="E27" s="154" t="s">
        <v>508</v>
      </c>
    </row>
    <row r="28" spans="1:5" s="142" customFormat="1" ht="12.75" customHeight="1" x14ac:dyDescent="0.25">
      <c r="A28" s="151"/>
      <c r="B28" s="152"/>
      <c r="C28" s="219"/>
      <c r="D28" s="153"/>
      <c r="E28" s="154"/>
    </row>
    <row r="29" spans="1:5" s="142" customFormat="1" ht="12.75" customHeight="1" x14ac:dyDescent="0.25">
      <c r="A29" s="151">
        <v>2009</v>
      </c>
      <c r="B29" s="152" t="s">
        <v>1</v>
      </c>
      <c r="C29" s="219"/>
      <c r="D29" s="153">
        <v>336</v>
      </c>
      <c r="E29" s="154" t="s">
        <v>508</v>
      </c>
    </row>
    <row r="30" spans="1:5" s="142" customFormat="1" ht="12.75" customHeight="1" x14ac:dyDescent="0.25">
      <c r="A30" s="151"/>
      <c r="B30" s="152" t="s">
        <v>2</v>
      </c>
      <c r="C30" s="219"/>
      <c r="D30" s="153">
        <v>370</v>
      </c>
      <c r="E30" s="154" t="s">
        <v>508</v>
      </c>
    </row>
    <row r="31" spans="1:5" s="142" customFormat="1" ht="12.75" customHeight="1" x14ac:dyDescent="0.25">
      <c r="A31" s="151"/>
      <c r="B31" s="152" t="s">
        <v>3</v>
      </c>
      <c r="C31" s="219"/>
      <c r="D31" s="153">
        <v>349</v>
      </c>
      <c r="E31" s="154" t="s">
        <v>508</v>
      </c>
    </row>
    <row r="32" spans="1:5" s="142" customFormat="1" ht="12.75" customHeight="1" x14ac:dyDescent="0.25">
      <c r="A32" s="151"/>
      <c r="B32" s="152" t="s">
        <v>4</v>
      </c>
      <c r="C32" s="219"/>
      <c r="D32" s="153">
        <v>399</v>
      </c>
      <c r="E32" s="154" t="s">
        <v>508</v>
      </c>
    </row>
    <row r="33" spans="1:5" s="142" customFormat="1" ht="12.75" customHeight="1" x14ac:dyDescent="0.25">
      <c r="A33" s="151"/>
      <c r="B33" s="152"/>
      <c r="C33" s="219"/>
      <c r="D33" s="153"/>
      <c r="E33" s="154"/>
    </row>
    <row r="34" spans="1:5" s="142" customFormat="1" ht="12.75" customHeight="1" x14ac:dyDescent="0.25">
      <c r="A34" s="151">
        <v>2010</v>
      </c>
      <c r="B34" s="152" t="s">
        <v>1</v>
      </c>
      <c r="C34" s="219"/>
      <c r="D34" s="153">
        <v>465</v>
      </c>
      <c r="E34" s="154" t="s">
        <v>508</v>
      </c>
    </row>
    <row r="35" spans="1:5" s="142" customFormat="1" ht="12.75" customHeight="1" x14ac:dyDescent="0.25">
      <c r="A35" s="151"/>
      <c r="B35" s="152" t="s">
        <v>2</v>
      </c>
      <c r="C35" s="219"/>
      <c r="D35" s="153">
        <v>397</v>
      </c>
      <c r="E35" s="154" t="s">
        <v>508</v>
      </c>
    </row>
    <row r="36" spans="1:5" s="142" customFormat="1" ht="12.75" customHeight="1" x14ac:dyDescent="0.25">
      <c r="A36" s="151"/>
      <c r="B36" s="152" t="s">
        <v>3</v>
      </c>
      <c r="C36" s="219"/>
      <c r="D36" s="153">
        <v>331</v>
      </c>
      <c r="E36" s="154" t="s">
        <v>508</v>
      </c>
    </row>
    <row r="37" spans="1:5" s="142" customFormat="1" ht="12.75" customHeight="1" x14ac:dyDescent="0.25">
      <c r="A37" s="151"/>
      <c r="B37" s="152" t="s">
        <v>4</v>
      </c>
      <c r="C37" s="219"/>
      <c r="D37" s="153">
        <v>280</v>
      </c>
      <c r="E37" s="154" t="s">
        <v>508</v>
      </c>
    </row>
    <row r="38" spans="1:5" s="142" customFormat="1" ht="12.75" customHeight="1" x14ac:dyDescent="0.25">
      <c r="A38" s="151"/>
      <c r="B38" s="152"/>
      <c r="C38" s="219"/>
      <c r="D38" s="153"/>
      <c r="E38" s="154"/>
    </row>
    <row r="39" spans="1:5" s="142" customFormat="1" ht="12.75" customHeight="1" x14ac:dyDescent="0.25">
      <c r="A39" s="151">
        <v>2011</v>
      </c>
      <c r="B39" s="152" t="s">
        <v>1</v>
      </c>
      <c r="C39" s="219"/>
      <c r="D39" s="153">
        <v>330</v>
      </c>
      <c r="E39" s="154" t="s">
        <v>508</v>
      </c>
    </row>
    <row r="40" spans="1:5" s="142" customFormat="1" ht="12.75" customHeight="1" x14ac:dyDescent="0.25">
      <c r="A40" s="151"/>
      <c r="B40" s="152" t="s">
        <v>2</v>
      </c>
      <c r="C40" s="219"/>
      <c r="D40" s="153">
        <v>257</v>
      </c>
      <c r="E40" s="154" t="s">
        <v>508</v>
      </c>
    </row>
    <row r="41" spans="1:5" s="142" customFormat="1" ht="12.75" customHeight="1" x14ac:dyDescent="0.25">
      <c r="A41" s="151"/>
      <c r="B41" s="152" t="s">
        <v>3</v>
      </c>
      <c r="C41" s="219"/>
      <c r="D41" s="153">
        <v>289</v>
      </c>
      <c r="E41" s="154" t="s">
        <v>508</v>
      </c>
    </row>
    <row r="42" spans="1:5" s="142" customFormat="1" ht="12.75" customHeight="1" x14ac:dyDescent="0.25">
      <c r="A42" s="151"/>
      <c r="B42" s="152" t="s">
        <v>4</v>
      </c>
      <c r="C42" s="219"/>
      <c r="D42" s="153">
        <v>246</v>
      </c>
      <c r="E42" s="154" t="s">
        <v>508</v>
      </c>
    </row>
    <row r="43" spans="1:5" s="142" customFormat="1" ht="12.75" customHeight="1" x14ac:dyDescent="0.25">
      <c r="A43" s="151"/>
      <c r="B43" s="152"/>
      <c r="C43" s="219"/>
      <c r="D43" s="153"/>
      <c r="E43" s="154"/>
    </row>
    <row r="44" spans="1:5" s="142" customFormat="1" ht="12.75" customHeight="1" x14ac:dyDescent="0.25">
      <c r="A44" s="151">
        <v>2012</v>
      </c>
      <c r="B44" s="152" t="s">
        <v>1</v>
      </c>
      <c r="C44" s="219"/>
      <c r="D44" s="153">
        <v>245</v>
      </c>
      <c r="E44" s="154" t="s">
        <v>508</v>
      </c>
    </row>
    <row r="45" spans="1:5" s="142" customFormat="1" ht="12.75" customHeight="1" x14ac:dyDescent="0.25">
      <c r="A45" s="151"/>
      <c r="B45" s="152" t="s">
        <v>2</v>
      </c>
      <c r="C45" s="219"/>
      <c r="D45" s="153">
        <v>234</v>
      </c>
      <c r="E45" s="154" t="s">
        <v>508</v>
      </c>
    </row>
    <row r="46" spans="1:5" s="142" customFormat="1" ht="12.75" customHeight="1" x14ac:dyDescent="0.25">
      <c r="A46" s="151"/>
      <c r="B46" s="152" t="s">
        <v>3</v>
      </c>
      <c r="C46" s="219"/>
      <c r="D46" s="153">
        <v>241</v>
      </c>
      <c r="E46" s="154" t="s">
        <v>508</v>
      </c>
    </row>
    <row r="47" spans="1:5" s="142" customFormat="1" ht="12.75" customHeight="1" x14ac:dyDescent="0.25">
      <c r="A47" s="151"/>
      <c r="B47" s="152" t="s">
        <v>4</v>
      </c>
      <c r="C47" s="219"/>
      <c r="D47" s="153">
        <v>283</v>
      </c>
      <c r="E47" s="154" t="s">
        <v>508</v>
      </c>
    </row>
    <row r="48" spans="1:5" s="142" customFormat="1" ht="12.75" customHeight="1" x14ac:dyDescent="0.25">
      <c r="A48" s="151"/>
      <c r="B48" s="152"/>
      <c r="C48" s="219"/>
      <c r="D48" s="153"/>
      <c r="E48" s="154"/>
    </row>
    <row r="49" spans="1:5" s="142" customFormat="1" ht="12.75" customHeight="1" x14ac:dyDescent="0.25">
      <c r="A49" s="151">
        <v>2013</v>
      </c>
      <c r="B49" s="152" t="s">
        <v>1</v>
      </c>
      <c r="C49" s="219"/>
      <c r="D49" s="153">
        <v>268</v>
      </c>
      <c r="E49" s="154" t="s">
        <v>508</v>
      </c>
    </row>
    <row r="50" spans="1:5" s="142" customFormat="1" ht="12.75" customHeight="1" x14ac:dyDescent="0.25">
      <c r="A50" s="151"/>
      <c r="B50" s="152" t="s">
        <v>2</v>
      </c>
      <c r="C50" s="219"/>
      <c r="D50" s="153">
        <v>246</v>
      </c>
      <c r="E50" s="154" t="s">
        <v>508</v>
      </c>
    </row>
    <row r="51" spans="1:5" s="142" customFormat="1" ht="12.75" customHeight="1" x14ac:dyDescent="0.25">
      <c r="A51" s="151"/>
      <c r="B51" s="152" t="s">
        <v>3</v>
      </c>
      <c r="C51" s="219"/>
      <c r="D51" s="153">
        <v>233</v>
      </c>
      <c r="E51" s="154" t="s">
        <v>508</v>
      </c>
    </row>
    <row r="52" spans="1:5" s="142" customFormat="1" ht="12.75" customHeight="1" x14ac:dyDescent="0.25">
      <c r="A52" s="151"/>
      <c r="B52" s="152" t="s">
        <v>4</v>
      </c>
      <c r="C52" s="219"/>
      <c r="D52" s="153">
        <v>197</v>
      </c>
      <c r="E52" s="154" t="s">
        <v>508</v>
      </c>
    </row>
    <row r="53" spans="1:5" s="142" customFormat="1" ht="12.75" customHeight="1" x14ac:dyDescent="0.25">
      <c r="A53" s="151"/>
      <c r="B53" s="152"/>
      <c r="C53" s="219"/>
      <c r="D53" s="153"/>
      <c r="E53" s="154"/>
    </row>
    <row r="54" spans="1:5" s="142" customFormat="1" ht="12.75" customHeight="1" x14ac:dyDescent="0.25">
      <c r="A54" s="151">
        <v>2014</v>
      </c>
      <c r="B54" s="152" t="s">
        <v>1</v>
      </c>
      <c r="C54" s="219"/>
      <c r="D54" s="153">
        <v>215</v>
      </c>
      <c r="E54" s="154" t="s">
        <v>508</v>
      </c>
    </row>
    <row r="55" spans="1:5" s="142" customFormat="1" ht="12.75" customHeight="1" x14ac:dyDescent="0.25">
      <c r="A55" s="151"/>
      <c r="B55" s="152" t="s">
        <v>2</v>
      </c>
      <c r="C55" s="219"/>
      <c r="D55" s="153">
        <v>212</v>
      </c>
      <c r="E55" s="154" t="s">
        <v>508</v>
      </c>
    </row>
    <row r="56" spans="1:5" s="142" customFormat="1" ht="12.75" customHeight="1" x14ac:dyDescent="0.25">
      <c r="A56" s="151"/>
      <c r="B56" s="152" t="s">
        <v>3</v>
      </c>
      <c r="C56" s="219"/>
      <c r="D56" s="153">
        <v>218</v>
      </c>
      <c r="E56" s="154" t="s">
        <v>508</v>
      </c>
    </row>
    <row r="57" spans="1:5" s="142" customFormat="1" ht="12.75" customHeight="1" x14ac:dyDescent="0.25">
      <c r="A57" s="151"/>
      <c r="B57" s="152" t="s">
        <v>4</v>
      </c>
      <c r="C57" s="219"/>
      <c r="D57" s="153">
        <v>233</v>
      </c>
      <c r="E57" s="154" t="s">
        <v>508</v>
      </c>
    </row>
    <row r="58" spans="1:5" s="142" customFormat="1" ht="12.75" customHeight="1" x14ac:dyDescent="0.25">
      <c r="A58" s="151"/>
      <c r="B58" s="152"/>
      <c r="C58" s="219"/>
      <c r="D58" s="153"/>
      <c r="E58" s="154"/>
    </row>
    <row r="59" spans="1:5" s="142" customFormat="1" ht="12.75" customHeight="1" x14ac:dyDescent="0.25">
      <c r="A59" s="151">
        <v>2015</v>
      </c>
      <c r="B59" s="152" t="s">
        <v>1</v>
      </c>
      <c r="C59" s="219"/>
      <c r="D59" s="153">
        <v>198</v>
      </c>
      <c r="E59" s="154" t="s">
        <v>508</v>
      </c>
    </row>
    <row r="60" spans="1:5" s="142" customFormat="1" ht="12.75" customHeight="1" x14ac:dyDescent="0.25">
      <c r="A60" s="151"/>
      <c r="B60" s="152" t="s">
        <v>2</v>
      </c>
      <c r="C60" s="219"/>
      <c r="D60" s="153">
        <v>185</v>
      </c>
      <c r="E60" s="154" t="s">
        <v>508</v>
      </c>
    </row>
    <row r="61" spans="1:5" s="142" customFormat="1" ht="12.75" customHeight="1" x14ac:dyDescent="0.25">
      <c r="A61" s="151"/>
      <c r="B61" s="152" t="s">
        <v>3</v>
      </c>
      <c r="C61" s="219"/>
      <c r="D61" s="153">
        <v>157</v>
      </c>
      <c r="E61" s="154" t="s">
        <v>508</v>
      </c>
    </row>
    <row r="62" spans="1:5" s="142" customFormat="1" ht="12.75" customHeight="1" x14ac:dyDescent="0.25">
      <c r="A62" s="151"/>
      <c r="B62" s="152" t="s">
        <v>4</v>
      </c>
      <c r="C62" s="219"/>
      <c r="D62" s="153">
        <v>91</v>
      </c>
      <c r="E62" s="154" t="s">
        <v>508</v>
      </c>
    </row>
    <row r="63" spans="1:5" s="142" customFormat="1" ht="12.75" customHeight="1" x14ac:dyDescent="0.25">
      <c r="A63" s="151"/>
      <c r="B63" s="152"/>
      <c r="C63" s="219"/>
      <c r="D63" s="153"/>
      <c r="E63" s="154"/>
    </row>
    <row r="64" spans="1:5" s="142" customFormat="1" ht="12.75" customHeight="1" x14ac:dyDescent="0.25">
      <c r="A64" s="151">
        <v>2016</v>
      </c>
      <c r="B64" s="152" t="s">
        <v>1</v>
      </c>
      <c r="C64" s="219" t="s">
        <v>197</v>
      </c>
      <c r="D64" s="153">
        <v>72</v>
      </c>
      <c r="E64" s="154" t="s">
        <v>508</v>
      </c>
    </row>
    <row r="65" spans="1:27" s="142" customFormat="1" ht="12.75" customHeight="1" x14ac:dyDescent="0.25">
      <c r="A65" s="151"/>
      <c r="B65" s="152" t="s">
        <v>2</v>
      </c>
      <c r="C65" s="219" t="s">
        <v>197</v>
      </c>
      <c r="D65" s="153">
        <v>124</v>
      </c>
      <c r="E65" s="154" t="s">
        <v>508</v>
      </c>
    </row>
    <row r="66" spans="1:27" s="142" customFormat="1" ht="12.75" customHeight="1" x14ac:dyDescent="0.25">
      <c r="A66" s="151"/>
      <c r="B66" s="152" t="s">
        <v>3</v>
      </c>
      <c r="C66" s="219" t="s">
        <v>197</v>
      </c>
      <c r="D66" s="153">
        <v>125</v>
      </c>
      <c r="E66" s="154" t="s">
        <v>508</v>
      </c>
    </row>
    <row r="67" spans="1:27" s="142" customFormat="1" ht="12.75" customHeight="1" x14ac:dyDescent="0.25">
      <c r="A67" s="152"/>
      <c r="B67" s="152" t="s">
        <v>4</v>
      </c>
      <c r="C67" s="219" t="s">
        <v>197</v>
      </c>
      <c r="D67" s="153">
        <v>109</v>
      </c>
      <c r="E67" s="154" t="s">
        <v>508</v>
      </c>
    </row>
    <row r="68" spans="1:27" s="142" customFormat="1" ht="12.75" customHeight="1" x14ac:dyDescent="0.25">
      <c r="A68" s="151"/>
      <c r="B68" s="152"/>
      <c r="C68" s="219"/>
      <c r="D68" s="153"/>
      <c r="E68" s="154"/>
    </row>
    <row r="69" spans="1:27" s="142" customFormat="1" ht="12.75" customHeight="1" x14ac:dyDescent="0.25">
      <c r="A69" s="151">
        <v>2017</v>
      </c>
      <c r="B69" s="152" t="s">
        <v>1</v>
      </c>
      <c r="C69" s="219" t="s">
        <v>415</v>
      </c>
      <c r="D69" s="153">
        <v>126</v>
      </c>
      <c r="E69" s="154" t="s">
        <v>508</v>
      </c>
      <c r="AA69" s="142" t="s">
        <v>508</v>
      </c>
    </row>
    <row r="70" spans="1:27" s="142" customFormat="1" ht="12.75" customHeight="1" thickBot="1" x14ac:dyDescent="0.3">
      <c r="A70" s="152"/>
      <c r="B70" s="156"/>
      <c r="C70" s="156"/>
      <c r="D70" s="153"/>
      <c r="E70" s="154"/>
    </row>
    <row r="71" spans="1:27" s="142" customFormat="1" ht="12.75" customHeight="1" x14ac:dyDescent="0.2">
      <c r="A71" s="159" t="s">
        <v>509</v>
      </c>
      <c r="B71" s="159"/>
      <c r="C71" s="159"/>
      <c r="D71" s="159"/>
      <c r="E71" s="221"/>
      <c r="F71" s="159"/>
      <c r="G71" s="159"/>
      <c r="H71" s="159"/>
      <c r="I71" s="159"/>
      <c r="J71" s="159"/>
      <c r="K71" s="159"/>
      <c r="L71" s="159"/>
      <c r="M71" s="159"/>
    </row>
    <row r="72" spans="1:27" s="142" customFormat="1" ht="12.75" customHeight="1" x14ac:dyDescent="0.2">
      <c r="A72" s="160"/>
      <c r="B72" s="160"/>
      <c r="C72" s="160"/>
      <c r="D72" s="160"/>
      <c r="E72" s="161"/>
      <c r="F72" s="160"/>
      <c r="G72" s="160"/>
      <c r="H72" s="160"/>
      <c r="I72" s="160"/>
      <c r="J72" s="160"/>
      <c r="K72" s="160"/>
      <c r="L72" s="160"/>
      <c r="M72" s="160"/>
    </row>
    <row r="73" spans="1:27" s="142" customFormat="1" ht="12.75" hidden="1" customHeight="1" x14ac:dyDescent="0.2">
      <c r="A73" s="162">
        <v>2016</v>
      </c>
      <c r="B73" s="163" t="s">
        <v>4</v>
      </c>
      <c r="C73" s="163"/>
      <c r="D73" s="164" t="s">
        <v>121</v>
      </c>
      <c r="E73" s="284"/>
      <c r="F73" s="164"/>
      <c r="G73" s="164"/>
      <c r="H73" s="164"/>
      <c r="I73" s="164"/>
      <c r="J73" s="164"/>
      <c r="K73" s="164"/>
      <c r="L73" s="164"/>
      <c r="M73" s="164"/>
    </row>
    <row r="74" spans="1:27" s="142" customFormat="1" ht="12.75" hidden="1" customHeight="1" x14ac:dyDescent="0.2">
      <c r="A74" s="165"/>
      <c r="B74" s="166"/>
      <c r="C74" s="166"/>
      <c r="D74" s="167"/>
      <c r="E74" s="281"/>
      <c r="F74" s="167"/>
      <c r="G74" s="167"/>
      <c r="H74" s="167"/>
      <c r="I74" s="167"/>
      <c r="J74" s="167"/>
      <c r="K74" s="167"/>
      <c r="L74" s="167"/>
      <c r="M74" s="167"/>
    </row>
    <row r="75" spans="1:27" s="142" customFormat="1" ht="12.75" customHeight="1" thickBot="1" x14ac:dyDescent="0.25">
      <c r="A75" s="157">
        <v>2016</v>
      </c>
      <c r="B75" s="158" t="s">
        <v>1</v>
      </c>
      <c r="C75" s="158"/>
      <c r="D75" s="168">
        <v>75</v>
      </c>
      <c r="E75" s="282"/>
      <c r="F75" s="168"/>
      <c r="G75" s="168"/>
      <c r="H75" s="168"/>
      <c r="I75" s="168"/>
      <c r="J75" s="168"/>
      <c r="K75" s="168"/>
      <c r="L75" s="168"/>
      <c r="M75" s="168"/>
    </row>
    <row r="76" spans="1:27" s="169" customFormat="1" ht="12.75" customHeight="1" x14ac:dyDescent="0.2">
      <c r="A76" s="342"/>
      <c r="B76" s="342"/>
      <c r="C76" s="342"/>
      <c r="D76" s="342"/>
      <c r="E76" s="342"/>
    </row>
    <row r="77" spans="1:27" s="169" customFormat="1" ht="15" x14ac:dyDescent="0.2">
      <c r="A77" s="340" t="s">
        <v>266</v>
      </c>
      <c r="B77" s="340"/>
      <c r="C77" s="340"/>
      <c r="D77" s="340"/>
      <c r="E77" s="340"/>
      <c r="F77" s="340"/>
      <c r="G77" s="340"/>
      <c r="H77" s="340"/>
      <c r="I77" s="340"/>
      <c r="J77" s="340"/>
      <c r="K77" s="340"/>
      <c r="L77" s="340"/>
      <c r="M77" s="340"/>
      <c r="N77" s="340"/>
      <c r="O77" s="340"/>
    </row>
    <row r="78" spans="1:27" s="169" customFormat="1" ht="80.25" customHeight="1" x14ac:dyDescent="0.2">
      <c r="A78" s="340" t="s">
        <v>233</v>
      </c>
      <c r="B78" s="340"/>
      <c r="C78" s="340"/>
      <c r="D78" s="340"/>
      <c r="E78" s="340"/>
      <c r="F78" s="340"/>
      <c r="G78" s="340"/>
      <c r="H78" s="340"/>
      <c r="I78" s="340"/>
      <c r="J78" s="340"/>
      <c r="K78" s="340"/>
      <c r="L78" s="340"/>
      <c r="M78" s="340"/>
    </row>
    <row r="79" spans="1:27" s="170" customFormat="1" ht="47.25" customHeight="1" x14ac:dyDescent="0.3">
      <c r="A79" s="340" t="s">
        <v>481</v>
      </c>
      <c r="B79" s="340"/>
      <c r="C79" s="340"/>
      <c r="D79" s="340"/>
      <c r="E79" s="340"/>
      <c r="F79" s="340"/>
      <c r="G79" s="340"/>
      <c r="H79" s="340"/>
      <c r="I79" s="340"/>
      <c r="J79" s="340"/>
      <c r="K79" s="340"/>
      <c r="L79" s="340"/>
      <c r="M79" s="340"/>
      <c r="N79" s="340"/>
      <c r="O79" s="340"/>
    </row>
    <row r="80" spans="1:27" s="171" customFormat="1" ht="44.25" customHeight="1" x14ac:dyDescent="0.3">
      <c r="A80" s="345"/>
      <c r="B80" s="345"/>
      <c r="C80" s="345"/>
      <c r="D80" s="345"/>
      <c r="E80" s="345"/>
    </row>
    <row r="81" spans="1:5" s="171" customFormat="1" ht="39" customHeight="1" x14ac:dyDescent="0.3">
      <c r="A81" s="345"/>
      <c r="B81" s="345"/>
      <c r="C81" s="345"/>
      <c r="D81" s="345"/>
      <c r="E81" s="345"/>
    </row>
  </sheetData>
  <dataConsolidate/>
  <mergeCells count="11">
    <mergeCell ref="D7:E7"/>
    <mergeCell ref="F7:G7"/>
    <mergeCell ref="H7:I7"/>
    <mergeCell ref="J7:K7"/>
    <mergeCell ref="L7:M7"/>
    <mergeCell ref="A76:E76"/>
    <mergeCell ref="A80:E80"/>
    <mergeCell ref="A81:E81"/>
    <mergeCell ref="A78:M78"/>
    <mergeCell ref="A77:O77"/>
    <mergeCell ref="A79:O79"/>
  </mergeCells>
  <hyperlinks>
    <hyperlink ref="A5" location="'Table Contents'!A1" display="Back to contents"/>
  </hyperlinks>
  <printOptions horizontalCentered="1" verticalCentered="1" gridLinesSet="0"/>
  <pageMargins left="0.19685039370078741" right="0.19685039370078741" top="0.19685039370078741" bottom="0.19685039370078741" header="0.39370078740157483" footer="0.39370078740157483"/>
  <pageSetup paperSize="9" scale="71" orientation="portrait" horizontalDpi="300" verticalDpi="4294967292"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AA75"/>
  <sheetViews>
    <sheetView showGridLines="0" zoomScaleNormal="100" workbookViewId="0">
      <pane xSplit="3" ySplit="5" topLeftCell="D6" activePane="bottomRight" state="frozen"/>
      <selection activeCell="H66" sqref="H55:H66"/>
      <selection pane="topRight" activeCell="H66" sqref="H55:H66"/>
      <selection pane="bottomLeft" activeCell="H66" sqref="H55:H66"/>
      <selection pane="bottomRight" activeCell="D6" sqref="D6"/>
    </sheetView>
  </sheetViews>
  <sheetFormatPr defaultColWidth="8.85546875" defaultRowHeight="12.75" customHeight="1" x14ac:dyDescent="0.3"/>
  <cols>
    <col min="1" max="1" width="7.42578125" style="131" customWidth="1"/>
    <col min="2" max="2" width="4.85546875" style="131" customWidth="1"/>
    <col min="3" max="3" width="4.85546875" style="174" customWidth="1"/>
    <col min="4" max="4" width="12.7109375" style="172" customWidth="1"/>
    <col min="5" max="5" width="3.85546875" style="174" customWidth="1"/>
    <col min="6" max="6" width="12.7109375" style="172" customWidth="1"/>
    <col min="7" max="7" width="3.85546875" style="174" customWidth="1"/>
    <col min="8" max="8" width="12.7109375" style="172" customWidth="1"/>
    <col min="9" max="9" width="3.85546875" style="174" customWidth="1"/>
    <col min="10" max="10" width="12.85546875" style="173" customWidth="1"/>
    <col min="11" max="11" width="3.85546875" style="174" customWidth="1"/>
    <col min="12" max="16384" width="8.85546875" style="134"/>
  </cols>
  <sheetData>
    <row r="1" spans="1:12" ht="12.75" customHeight="1" x14ac:dyDescent="0.3">
      <c r="B1" s="132"/>
      <c r="C1" s="133"/>
      <c r="D1" s="132"/>
      <c r="E1" s="133"/>
      <c r="F1" s="132"/>
      <c r="G1" s="133"/>
      <c r="H1" s="132"/>
      <c r="I1" s="133"/>
      <c r="J1" s="132"/>
      <c r="K1" s="133"/>
    </row>
    <row r="2" spans="1:12" s="136" customFormat="1" ht="31.5" customHeight="1" x14ac:dyDescent="0.3">
      <c r="A2" s="193" t="s">
        <v>165</v>
      </c>
      <c r="B2" s="194"/>
      <c r="C2" s="194"/>
      <c r="D2" s="195" t="s">
        <v>424</v>
      </c>
      <c r="E2" s="133"/>
      <c r="F2" s="132"/>
      <c r="G2" s="133"/>
      <c r="H2" s="132"/>
      <c r="I2" s="133"/>
      <c r="J2" s="132"/>
      <c r="K2" s="133"/>
      <c r="L2" s="132"/>
    </row>
    <row r="3" spans="1:12" s="136" customFormat="1" ht="17.25" x14ac:dyDescent="0.3">
      <c r="A3" s="196" t="s">
        <v>154</v>
      </c>
      <c r="B3" s="197"/>
      <c r="C3" s="214"/>
      <c r="D3" s="198" t="s">
        <v>167</v>
      </c>
      <c r="E3" s="283"/>
      <c r="F3" s="188"/>
      <c r="G3" s="283"/>
      <c r="H3" s="188"/>
      <c r="I3" s="283"/>
      <c r="J3" s="188"/>
      <c r="K3" s="283"/>
      <c r="L3" s="132"/>
    </row>
    <row r="4" spans="1:12" ht="10.5" customHeight="1" thickBot="1" x14ac:dyDescent="0.35">
      <c r="A4" s="137"/>
      <c r="B4" s="137"/>
      <c r="C4" s="215"/>
      <c r="D4" s="137"/>
      <c r="E4" s="215"/>
      <c r="F4" s="137"/>
      <c r="G4" s="215"/>
      <c r="H4" s="137"/>
      <c r="I4" s="215"/>
      <c r="J4" s="337"/>
      <c r="K4" s="337"/>
    </row>
    <row r="5" spans="1:12" ht="47.25" customHeight="1" thickBot="1" x14ac:dyDescent="0.35">
      <c r="A5" s="231"/>
      <c r="B5" s="231"/>
      <c r="C5" s="232"/>
      <c r="D5" s="346" t="s">
        <v>137</v>
      </c>
      <c r="E5" s="346"/>
      <c r="F5" s="347" t="s">
        <v>116</v>
      </c>
      <c r="G5" s="347"/>
      <c r="H5" s="347" t="s">
        <v>157</v>
      </c>
      <c r="I5" s="347"/>
      <c r="J5" s="347" t="s">
        <v>168</v>
      </c>
      <c r="K5" s="347"/>
      <c r="L5" s="189"/>
    </row>
    <row r="6" spans="1:12" s="142" customFormat="1" ht="12.75" customHeight="1" x14ac:dyDescent="0.25">
      <c r="A6" s="151">
        <v>2007</v>
      </c>
      <c r="B6" s="152" t="s">
        <v>1</v>
      </c>
      <c r="C6" s="219"/>
      <c r="D6" s="206">
        <v>0.66772940197602604</v>
      </c>
      <c r="E6" s="154" t="s">
        <v>508</v>
      </c>
      <c r="F6" s="206">
        <v>0.25423906709990302</v>
      </c>
      <c r="G6" s="154" t="s">
        <v>508</v>
      </c>
      <c r="H6" s="206">
        <v>0.36687904409800226</v>
      </c>
      <c r="I6" s="154" t="s">
        <v>508</v>
      </c>
      <c r="J6" s="206">
        <v>4.6611290778120706E-2</v>
      </c>
      <c r="K6" s="154" t="s">
        <v>508</v>
      </c>
      <c r="L6" s="206"/>
    </row>
    <row r="7" spans="1:12" s="142" customFormat="1" ht="12.75" customHeight="1" x14ac:dyDescent="0.25">
      <c r="A7" s="151"/>
      <c r="B7" s="152" t="s">
        <v>2</v>
      </c>
      <c r="C7" s="219"/>
      <c r="D7" s="206">
        <v>0.6590149955461464</v>
      </c>
      <c r="E7" s="154" t="s">
        <v>508</v>
      </c>
      <c r="F7" s="206">
        <v>0.25465014145935733</v>
      </c>
      <c r="G7" s="154" t="s">
        <v>508</v>
      </c>
      <c r="H7" s="206">
        <v>0.35511230156665358</v>
      </c>
      <c r="I7" s="154" t="s">
        <v>508</v>
      </c>
      <c r="J7" s="206">
        <v>4.9252552520135523E-2</v>
      </c>
      <c r="K7" s="154" t="s">
        <v>508</v>
      </c>
      <c r="L7" s="206"/>
    </row>
    <row r="8" spans="1:12" s="142" customFormat="1" ht="12.75" customHeight="1" x14ac:dyDescent="0.25">
      <c r="A8" s="151"/>
      <c r="B8" s="152" t="s">
        <v>3</v>
      </c>
      <c r="C8" s="219"/>
      <c r="D8" s="206">
        <v>0.64143380501652958</v>
      </c>
      <c r="E8" s="154" t="s">
        <v>508</v>
      </c>
      <c r="F8" s="206">
        <v>0.24689477256307152</v>
      </c>
      <c r="G8" s="154" t="s">
        <v>508</v>
      </c>
      <c r="H8" s="206">
        <v>0.34564355929853241</v>
      </c>
      <c r="I8" s="154" t="s">
        <v>508</v>
      </c>
      <c r="J8" s="206">
        <v>4.8895473154925671E-2</v>
      </c>
      <c r="K8" s="154" t="s">
        <v>508</v>
      </c>
      <c r="L8" s="206"/>
    </row>
    <row r="9" spans="1:12" s="142" customFormat="1" ht="12.75" customHeight="1" x14ac:dyDescent="0.25">
      <c r="A9" s="151"/>
      <c r="B9" s="152" t="s">
        <v>4</v>
      </c>
      <c r="C9" s="219"/>
      <c r="D9" s="206">
        <v>0.62138306556214973</v>
      </c>
      <c r="E9" s="154" t="s">
        <v>508</v>
      </c>
      <c r="F9" s="206">
        <v>0.23117795387369469</v>
      </c>
      <c r="G9" s="154" t="s">
        <v>508</v>
      </c>
      <c r="H9" s="206">
        <v>0.34128400741276321</v>
      </c>
      <c r="I9" s="154" t="s">
        <v>508</v>
      </c>
      <c r="J9" s="206">
        <v>4.8921104275691824E-2</v>
      </c>
      <c r="K9" s="154" t="s">
        <v>508</v>
      </c>
      <c r="L9" s="206"/>
    </row>
    <row r="10" spans="1:12" s="142" customFormat="1" ht="12.75" customHeight="1" x14ac:dyDescent="0.25">
      <c r="A10" s="151"/>
      <c r="B10" s="152"/>
      <c r="C10" s="219"/>
      <c r="D10" s="206"/>
      <c r="E10" s="154"/>
      <c r="F10" s="206"/>
      <c r="G10" s="154"/>
      <c r="H10" s="206"/>
      <c r="I10" s="154"/>
      <c r="J10" s="206"/>
      <c r="K10" s="154"/>
      <c r="L10" s="206"/>
    </row>
    <row r="11" spans="1:12" s="142" customFormat="1" ht="12.75" customHeight="1" x14ac:dyDescent="0.25">
      <c r="A11" s="151">
        <v>2008</v>
      </c>
      <c r="B11" s="152" t="s">
        <v>1</v>
      </c>
      <c r="C11" s="219"/>
      <c r="D11" s="206">
        <v>0.61138969601118964</v>
      </c>
      <c r="E11" s="154" t="s">
        <v>508</v>
      </c>
      <c r="F11" s="206">
        <v>0.21479945882555601</v>
      </c>
      <c r="G11" s="154" t="s">
        <v>508</v>
      </c>
      <c r="H11" s="206">
        <v>0.34855752545072738</v>
      </c>
      <c r="I11" s="154" t="s">
        <v>508</v>
      </c>
      <c r="J11" s="206">
        <v>4.8032711734906267E-2</v>
      </c>
      <c r="K11" s="154" t="s">
        <v>508</v>
      </c>
      <c r="L11" s="206"/>
    </row>
    <row r="12" spans="1:12" s="142" customFormat="1" ht="12.75" customHeight="1" x14ac:dyDescent="0.25">
      <c r="A12" s="151"/>
      <c r="B12" s="152" t="s">
        <v>2</v>
      </c>
      <c r="C12" s="219"/>
      <c r="D12" s="206">
        <v>0.6186177075382443</v>
      </c>
      <c r="E12" s="154" t="s">
        <v>508</v>
      </c>
      <c r="F12" s="206">
        <v>0.21308720808302642</v>
      </c>
      <c r="G12" s="154" t="s">
        <v>508</v>
      </c>
      <c r="H12" s="206">
        <v>0.36078743421118331</v>
      </c>
      <c r="I12" s="154" t="s">
        <v>508</v>
      </c>
      <c r="J12" s="206">
        <v>4.4743065244034493E-2</v>
      </c>
      <c r="K12" s="154" t="s">
        <v>508</v>
      </c>
      <c r="L12" s="206"/>
    </row>
    <row r="13" spans="1:12" s="142" customFormat="1" ht="12.75" customHeight="1" x14ac:dyDescent="0.25">
      <c r="A13" s="151"/>
      <c r="B13" s="152" t="s">
        <v>3</v>
      </c>
      <c r="C13" s="219"/>
      <c r="D13" s="206">
        <v>0.65406138687006377</v>
      </c>
      <c r="E13" s="154" t="s">
        <v>508</v>
      </c>
      <c r="F13" s="206">
        <v>0.22152082398803657</v>
      </c>
      <c r="G13" s="154" t="s">
        <v>508</v>
      </c>
      <c r="H13" s="206">
        <v>0.38806282642997281</v>
      </c>
      <c r="I13" s="154" t="s">
        <v>508</v>
      </c>
      <c r="J13" s="206">
        <v>4.4477736452054356E-2</v>
      </c>
      <c r="K13" s="154" t="s">
        <v>508</v>
      </c>
      <c r="L13" s="206"/>
    </row>
    <row r="14" spans="1:12" s="142" customFormat="1" ht="12.75" customHeight="1" x14ac:dyDescent="0.25">
      <c r="A14" s="151"/>
      <c r="B14" s="152" t="s">
        <v>4</v>
      </c>
      <c r="C14" s="219"/>
      <c r="D14" s="206">
        <v>0.7161308854965569</v>
      </c>
      <c r="E14" s="154" t="s">
        <v>508</v>
      </c>
      <c r="F14" s="206">
        <v>0.23875375234650667</v>
      </c>
      <c r="G14" s="154" t="s">
        <v>508</v>
      </c>
      <c r="H14" s="206">
        <v>0.43435452397221225</v>
      </c>
      <c r="I14" s="154" t="s">
        <v>508</v>
      </c>
      <c r="J14" s="206">
        <v>4.3022609177837935E-2</v>
      </c>
      <c r="K14" s="154" t="s">
        <v>508</v>
      </c>
      <c r="L14" s="206"/>
    </row>
    <row r="15" spans="1:12" s="142" customFormat="1" ht="12.75" customHeight="1" x14ac:dyDescent="0.25">
      <c r="A15" s="151"/>
      <c r="B15" s="152"/>
      <c r="C15" s="219"/>
      <c r="D15" s="206"/>
      <c r="E15" s="154"/>
      <c r="F15" s="206"/>
      <c r="G15" s="154"/>
      <c r="H15" s="206"/>
      <c r="I15" s="154"/>
      <c r="J15" s="206"/>
      <c r="K15" s="154"/>
      <c r="L15" s="206"/>
    </row>
    <row r="16" spans="1:12" s="142" customFormat="1" ht="12.75" customHeight="1" x14ac:dyDescent="0.25">
      <c r="A16" s="151">
        <v>2009</v>
      </c>
      <c r="B16" s="152" t="s">
        <v>1</v>
      </c>
      <c r="C16" s="219"/>
      <c r="D16" s="206">
        <v>0.81346205635060342</v>
      </c>
      <c r="E16" s="154" t="s">
        <v>508</v>
      </c>
      <c r="F16" s="206">
        <v>0.26212238255002979</v>
      </c>
      <c r="G16" s="154" t="s">
        <v>508</v>
      </c>
      <c r="H16" s="206">
        <v>0.50496653994685747</v>
      </c>
      <c r="I16" s="154" t="s">
        <v>508</v>
      </c>
      <c r="J16" s="206">
        <v>4.6373133853716109E-2</v>
      </c>
      <c r="K16" s="154" t="s">
        <v>508</v>
      </c>
      <c r="L16" s="206"/>
    </row>
    <row r="17" spans="1:12" s="142" customFormat="1" ht="12.75" customHeight="1" x14ac:dyDescent="0.25">
      <c r="A17" s="151"/>
      <c r="B17" s="152" t="s">
        <v>2</v>
      </c>
      <c r="C17" s="219"/>
      <c r="D17" s="206">
        <v>0.90098355281009823</v>
      </c>
      <c r="E17" s="154" t="s">
        <v>508</v>
      </c>
      <c r="F17" s="206">
        <v>0.27227475728437994</v>
      </c>
      <c r="G17" s="154" t="s">
        <v>508</v>
      </c>
      <c r="H17" s="206">
        <v>0.57478235897852403</v>
      </c>
      <c r="I17" s="154" t="s">
        <v>508</v>
      </c>
      <c r="J17" s="206">
        <v>5.392643654719418E-2</v>
      </c>
      <c r="K17" s="154" t="s">
        <v>508</v>
      </c>
      <c r="L17" s="206"/>
    </row>
    <row r="18" spans="1:12" s="142" customFormat="1" ht="12.75" customHeight="1" x14ac:dyDescent="0.25">
      <c r="A18" s="151"/>
      <c r="B18" s="152" t="s">
        <v>3</v>
      </c>
      <c r="C18" s="219"/>
      <c r="D18" s="206">
        <v>0.94078050267287394</v>
      </c>
      <c r="E18" s="154" t="s">
        <v>508</v>
      </c>
      <c r="F18" s="206">
        <v>0.26740707803510738</v>
      </c>
      <c r="G18" s="154" t="s">
        <v>508</v>
      </c>
      <c r="H18" s="206">
        <v>0.614648732990841</v>
      </c>
      <c r="I18" s="154" t="s">
        <v>508</v>
      </c>
      <c r="J18" s="206">
        <v>5.8724691646925543E-2</v>
      </c>
      <c r="K18" s="154" t="s">
        <v>508</v>
      </c>
      <c r="L18" s="206"/>
    </row>
    <row r="19" spans="1:12" s="142" customFormat="1" ht="12.75" customHeight="1" x14ac:dyDescent="0.25">
      <c r="A19" s="151"/>
      <c r="B19" s="152" t="s">
        <v>4</v>
      </c>
      <c r="C19" s="219"/>
      <c r="D19" s="206">
        <v>0.94837767440283516</v>
      </c>
      <c r="E19" s="154" t="s">
        <v>508</v>
      </c>
      <c r="F19" s="206">
        <v>0.25971538467704547</v>
      </c>
      <c r="G19" s="154" t="s">
        <v>508</v>
      </c>
      <c r="H19" s="206">
        <v>0.62174289059050281</v>
      </c>
      <c r="I19" s="154" t="s">
        <v>508</v>
      </c>
      <c r="J19" s="206">
        <v>6.6919399135286925E-2</v>
      </c>
      <c r="K19" s="154" t="s">
        <v>508</v>
      </c>
      <c r="L19" s="206"/>
    </row>
    <row r="20" spans="1:12" s="142" customFormat="1" ht="12.75" customHeight="1" x14ac:dyDescent="0.25">
      <c r="A20" s="151"/>
      <c r="B20" s="152"/>
      <c r="C20" s="219"/>
      <c r="D20" s="206"/>
      <c r="E20" s="154"/>
      <c r="F20" s="206"/>
      <c r="G20" s="154"/>
      <c r="H20" s="206"/>
      <c r="I20" s="154"/>
      <c r="J20" s="206"/>
      <c r="K20" s="154"/>
      <c r="L20" s="206"/>
    </row>
    <row r="21" spans="1:12" s="142" customFormat="1" ht="12.75" customHeight="1" x14ac:dyDescent="0.25">
      <c r="A21" s="151">
        <v>2010</v>
      </c>
      <c r="B21" s="152" t="s">
        <v>1</v>
      </c>
      <c r="C21" s="219"/>
      <c r="D21" s="206">
        <v>0.91605371249721101</v>
      </c>
      <c r="E21" s="154" t="s">
        <v>508</v>
      </c>
      <c r="F21" s="206">
        <v>0.24925567568852397</v>
      </c>
      <c r="G21" s="154" t="s">
        <v>508</v>
      </c>
      <c r="H21" s="206">
        <v>0.59397195068559117</v>
      </c>
      <c r="I21" s="154" t="s">
        <v>508</v>
      </c>
      <c r="J21" s="206">
        <v>7.2826086123095879E-2</v>
      </c>
      <c r="K21" s="154" t="s">
        <v>508</v>
      </c>
      <c r="L21" s="206"/>
    </row>
    <row r="22" spans="1:12" s="142" customFormat="1" ht="12.75" customHeight="1" x14ac:dyDescent="0.25">
      <c r="A22" s="151"/>
      <c r="B22" s="152" t="s">
        <v>2</v>
      </c>
      <c r="C22" s="219"/>
      <c r="D22" s="206">
        <v>0.86535872702231309</v>
      </c>
      <c r="E22" s="154" t="s">
        <v>508</v>
      </c>
      <c r="F22" s="206">
        <v>0.23235002955229084</v>
      </c>
      <c r="G22" s="154" t="s">
        <v>508</v>
      </c>
      <c r="H22" s="206">
        <v>0.55941366548513372</v>
      </c>
      <c r="I22" s="154" t="s">
        <v>508</v>
      </c>
      <c r="J22" s="206">
        <v>7.3595031984888482E-2</v>
      </c>
      <c r="K22" s="154" t="s">
        <v>508</v>
      </c>
      <c r="L22" s="206"/>
    </row>
    <row r="23" spans="1:12" s="142" customFormat="1" ht="12.75" customHeight="1" x14ac:dyDescent="0.25">
      <c r="A23" s="151"/>
      <c r="B23" s="152" t="s">
        <v>3</v>
      </c>
      <c r="C23" s="219"/>
      <c r="D23" s="206">
        <v>0.83117012864563611</v>
      </c>
      <c r="E23" s="154" t="s">
        <v>508</v>
      </c>
      <c r="F23" s="206">
        <v>0.22306221230985984</v>
      </c>
      <c r="G23" s="154" t="s">
        <v>508</v>
      </c>
      <c r="H23" s="206">
        <v>0.53581250876303677</v>
      </c>
      <c r="I23" s="154" t="s">
        <v>508</v>
      </c>
      <c r="J23" s="206">
        <v>7.2295407572739584E-2</v>
      </c>
      <c r="K23" s="154" t="s">
        <v>508</v>
      </c>
      <c r="L23" s="206"/>
    </row>
    <row r="24" spans="1:12" s="142" customFormat="1" ht="12.75" customHeight="1" x14ac:dyDescent="0.25">
      <c r="A24" s="151"/>
      <c r="B24" s="152" t="s">
        <v>4</v>
      </c>
      <c r="C24" s="219"/>
      <c r="D24" s="206">
        <v>0.80054519901498378</v>
      </c>
      <c r="E24" s="154" t="s">
        <v>508</v>
      </c>
      <c r="F24" s="206">
        <v>0.21586925854931077</v>
      </c>
      <c r="G24" s="154" t="s">
        <v>508</v>
      </c>
      <c r="H24" s="206">
        <v>0.51832046929640441</v>
      </c>
      <c r="I24" s="154" t="s">
        <v>508</v>
      </c>
      <c r="J24" s="206">
        <v>6.6355471169268543E-2</v>
      </c>
      <c r="K24" s="154" t="s">
        <v>508</v>
      </c>
      <c r="L24" s="206"/>
    </row>
    <row r="25" spans="1:12" s="142" customFormat="1" ht="12.75" customHeight="1" x14ac:dyDescent="0.25">
      <c r="A25" s="151"/>
      <c r="B25" s="152"/>
      <c r="C25" s="219"/>
      <c r="D25" s="206"/>
      <c r="E25" s="154"/>
      <c r="F25" s="206"/>
      <c r="G25" s="154"/>
      <c r="H25" s="206"/>
      <c r="I25" s="154"/>
      <c r="J25" s="206"/>
      <c r="K25" s="154"/>
      <c r="L25" s="206"/>
    </row>
    <row r="26" spans="1:12" s="142" customFormat="1" ht="12.75" customHeight="1" x14ac:dyDescent="0.25">
      <c r="A26" s="151">
        <v>2011</v>
      </c>
      <c r="B26" s="152" t="s">
        <v>1</v>
      </c>
      <c r="C26" s="219"/>
      <c r="D26" s="206">
        <v>0.77873767702399233</v>
      </c>
      <c r="E26" s="154" t="s">
        <v>508</v>
      </c>
      <c r="F26" s="206">
        <v>0.20405497347184948</v>
      </c>
      <c r="G26" s="154" t="s">
        <v>508</v>
      </c>
      <c r="H26" s="206">
        <v>0.51497888669114689</v>
      </c>
      <c r="I26" s="154" t="s">
        <v>508</v>
      </c>
      <c r="J26" s="206">
        <v>5.9703816860995969E-2</v>
      </c>
      <c r="K26" s="154" t="s">
        <v>508</v>
      </c>
      <c r="L26" s="206"/>
    </row>
    <row r="27" spans="1:12" s="142" customFormat="1" ht="12.75" customHeight="1" x14ac:dyDescent="0.25">
      <c r="A27" s="151"/>
      <c r="B27" s="152" t="s">
        <v>2</v>
      </c>
      <c r="C27" s="219"/>
      <c r="D27" s="206">
        <v>0.7779389075913471</v>
      </c>
      <c r="E27" s="154" t="s">
        <v>508</v>
      </c>
      <c r="F27" s="206">
        <v>0.20762394691799241</v>
      </c>
      <c r="G27" s="154" t="s">
        <v>508</v>
      </c>
      <c r="H27" s="206">
        <v>0.51744918205321555</v>
      </c>
      <c r="I27" s="154" t="s">
        <v>508</v>
      </c>
      <c r="J27" s="206">
        <v>5.2865778620139192E-2</v>
      </c>
      <c r="K27" s="154" t="s">
        <v>508</v>
      </c>
      <c r="L27" s="206"/>
    </row>
    <row r="28" spans="1:12" s="142" customFormat="1" ht="12.75" customHeight="1" x14ac:dyDescent="0.25">
      <c r="A28" s="151"/>
      <c r="B28" s="152" t="s">
        <v>3</v>
      </c>
      <c r="C28" s="219"/>
      <c r="D28" s="206">
        <v>0.77595523958871326</v>
      </c>
      <c r="E28" s="154" t="s">
        <v>508</v>
      </c>
      <c r="F28" s="206">
        <v>0.20802575299535614</v>
      </c>
      <c r="G28" s="154" t="s">
        <v>508</v>
      </c>
      <c r="H28" s="206">
        <v>0.51753598901107878</v>
      </c>
      <c r="I28" s="154" t="s">
        <v>508</v>
      </c>
      <c r="J28" s="206">
        <v>5.0393497582278235E-2</v>
      </c>
      <c r="K28" s="154" t="s">
        <v>508</v>
      </c>
      <c r="L28" s="206"/>
    </row>
    <row r="29" spans="1:12" s="142" customFormat="1" ht="12.75" customHeight="1" x14ac:dyDescent="0.25">
      <c r="A29" s="151"/>
      <c r="B29" s="152" t="s">
        <v>4</v>
      </c>
      <c r="C29" s="219"/>
      <c r="D29" s="206">
        <v>0.77730361196497877</v>
      </c>
      <c r="E29" s="154" t="s">
        <v>508</v>
      </c>
      <c r="F29" s="206">
        <v>0.21518647469349209</v>
      </c>
      <c r="G29" s="154" t="s">
        <v>508</v>
      </c>
      <c r="H29" s="206">
        <v>0.51385824768401955</v>
      </c>
      <c r="I29" s="154" t="s">
        <v>508</v>
      </c>
      <c r="J29" s="206">
        <v>4.8258889587467144E-2</v>
      </c>
      <c r="K29" s="154" t="s">
        <v>508</v>
      </c>
      <c r="L29" s="206"/>
    </row>
    <row r="30" spans="1:12" s="142" customFormat="1" ht="12.75" customHeight="1" x14ac:dyDescent="0.25">
      <c r="A30" s="151"/>
      <c r="B30" s="152"/>
      <c r="C30" s="219"/>
      <c r="D30" s="206"/>
      <c r="E30" s="154"/>
      <c r="F30" s="206"/>
      <c r="G30" s="154"/>
      <c r="H30" s="206"/>
      <c r="I30" s="154"/>
      <c r="J30" s="206"/>
      <c r="K30" s="154"/>
      <c r="L30" s="206"/>
    </row>
    <row r="31" spans="1:12" s="142" customFormat="1" ht="12.75" customHeight="1" x14ac:dyDescent="0.25">
      <c r="A31" s="151">
        <v>2012</v>
      </c>
      <c r="B31" s="152" t="s">
        <v>1</v>
      </c>
      <c r="C31" s="219"/>
      <c r="D31" s="206">
        <v>0.77458752832713385</v>
      </c>
      <c r="E31" s="154" t="s">
        <v>508</v>
      </c>
      <c r="F31" s="206">
        <v>0.21718793536910824</v>
      </c>
      <c r="G31" s="154" t="s">
        <v>508</v>
      </c>
      <c r="H31" s="206">
        <v>0.51345346827943716</v>
      </c>
      <c r="I31" s="154" t="s">
        <v>508</v>
      </c>
      <c r="J31" s="206">
        <v>4.3946124678588341E-2</v>
      </c>
      <c r="K31" s="154" t="s">
        <v>508</v>
      </c>
      <c r="L31" s="206"/>
    </row>
    <row r="32" spans="1:12" s="142" customFormat="1" ht="12.75" customHeight="1" x14ac:dyDescent="0.25">
      <c r="A32" s="151"/>
      <c r="B32" s="152" t="s">
        <v>2</v>
      </c>
      <c r="C32" s="219"/>
      <c r="D32" s="206">
        <v>0.74811450793867496</v>
      </c>
      <c r="E32" s="154" t="s">
        <v>508</v>
      </c>
      <c r="F32" s="206">
        <v>0.20193708394685381</v>
      </c>
      <c r="G32" s="154" t="s">
        <v>508</v>
      </c>
      <c r="H32" s="206">
        <v>0.5038620276037018</v>
      </c>
      <c r="I32" s="154" t="s">
        <v>508</v>
      </c>
      <c r="J32" s="206">
        <v>4.2315396388119403E-2</v>
      </c>
      <c r="K32" s="154" t="s">
        <v>508</v>
      </c>
      <c r="L32" s="206"/>
    </row>
    <row r="33" spans="1:12" s="142" customFormat="1" ht="12.75" customHeight="1" x14ac:dyDescent="0.25">
      <c r="A33" s="151"/>
      <c r="B33" s="152" t="s">
        <v>3</v>
      </c>
      <c r="C33" s="219"/>
      <c r="D33" s="206">
        <v>0.72647843233341935</v>
      </c>
      <c r="E33" s="154" t="s">
        <v>508</v>
      </c>
      <c r="F33" s="206">
        <v>0.19446990669272518</v>
      </c>
      <c r="G33" s="154" t="s">
        <v>508</v>
      </c>
      <c r="H33" s="206">
        <v>0.49231743545155987</v>
      </c>
      <c r="I33" s="154" t="s">
        <v>508</v>
      </c>
      <c r="J33" s="206">
        <v>3.9691090189134276E-2</v>
      </c>
      <c r="K33" s="154" t="s">
        <v>508</v>
      </c>
      <c r="L33" s="206"/>
    </row>
    <row r="34" spans="1:12" s="142" customFormat="1" ht="12.75" customHeight="1" x14ac:dyDescent="0.25">
      <c r="A34" s="151"/>
      <c r="B34" s="152" t="s">
        <v>4</v>
      </c>
      <c r="C34" s="219"/>
      <c r="D34" s="206">
        <v>0.69432371491898603</v>
      </c>
      <c r="E34" s="154" t="s">
        <v>508</v>
      </c>
      <c r="F34" s="206">
        <v>0.17230712575828769</v>
      </c>
      <c r="G34" s="154" t="s">
        <v>508</v>
      </c>
      <c r="H34" s="206">
        <v>0.48145708502186646</v>
      </c>
      <c r="I34" s="154" t="s">
        <v>508</v>
      </c>
      <c r="J34" s="206">
        <v>4.0559504138831859E-2</v>
      </c>
      <c r="K34" s="154" t="s">
        <v>508</v>
      </c>
      <c r="L34" s="206"/>
    </row>
    <row r="35" spans="1:12" s="142" customFormat="1" ht="12.75" customHeight="1" x14ac:dyDescent="0.25">
      <c r="A35" s="151"/>
      <c r="B35" s="152"/>
      <c r="C35" s="219"/>
      <c r="D35" s="206"/>
      <c r="E35" s="154"/>
      <c r="F35" s="206"/>
      <c r="G35" s="154"/>
      <c r="H35" s="206"/>
      <c r="I35" s="154"/>
      <c r="J35" s="206"/>
      <c r="K35" s="154"/>
      <c r="L35" s="206"/>
    </row>
    <row r="36" spans="1:12" s="142" customFormat="1" ht="12.75" customHeight="1" x14ac:dyDescent="0.25">
      <c r="A36" s="151">
        <v>2013</v>
      </c>
      <c r="B36" s="152" t="s">
        <v>1</v>
      </c>
      <c r="C36" s="219"/>
      <c r="D36" s="206">
        <v>0.65870843395552425</v>
      </c>
      <c r="E36" s="154" t="s">
        <v>508</v>
      </c>
      <c r="F36" s="206">
        <v>0.15924425645051676</v>
      </c>
      <c r="G36" s="154" t="s">
        <v>508</v>
      </c>
      <c r="H36" s="206">
        <v>0.45862823471114844</v>
      </c>
      <c r="I36" s="154" t="s">
        <v>508</v>
      </c>
      <c r="J36" s="206">
        <v>4.083594279385909E-2</v>
      </c>
      <c r="K36" s="154" t="s">
        <v>508</v>
      </c>
      <c r="L36" s="206"/>
    </row>
    <row r="37" spans="1:12" s="142" customFormat="1" ht="12.75" customHeight="1" x14ac:dyDescent="0.25">
      <c r="A37" s="151"/>
      <c r="B37" s="152" t="s">
        <v>2</v>
      </c>
      <c r="C37" s="219"/>
      <c r="D37" s="206">
        <v>0.65102125284552337</v>
      </c>
      <c r="E37" s="154" t="s">
        <v>508</v>
      </c>
      <c r="F37" s="206">
        <v>0.15713089720997611</v>
      </c>
      <c r="G37" s="154" t="s">
        <v>508</v>
      </c>
      <c r="H37" s="206">
        <v>0.45320642664977645</v>
      </c>
      <c r="I37" s="154" t="s">
        <v>508</v>
      </c>
      <c r="J37" s="206">
        <v>4.0683928985770813E-2</v>
      </c>
      <c r="K37" s="154" t="s">
        <v>508</v>
      </c>
      <c r="L37" s="206"/>
    </row>
    <row r="38" spans="1:12" s="142" customFormat="1" ht="12.75" customHeight="1" x14ac:dyDescent="0.25">
      <c r="A38" s="151"/>
      <c r="B38" s="152" t="s">
        <v>3</v>
      </c>
      <c r="C38" s="219"/>
      <c r="D38" s="206">
        <v>0.63162436782132203</v>
      </c>
      <c r="E38" s="154" t="s">
        <v>508</v>
      </c>
      <c r="F38" s="206">
        <v>0.14988546506236133</v>
      </c>
      <c r="G38" s="154" t="s">
        <v>508</v>
      </c>
      <c r="H38" s="206">
        <v>0.44202137535627678</v>
      </c>
      <c r="I38" s="154" t="s">
        <v>508</v>
      </c>
      <c r="J38" s="206">
        <v>3.9717527402683868E-2</v>
      </c>
      <c r="K38" s="154" t="s">
        <v>508</v>
      </c>
      <c r="L38" s="206"/>
    </row>
    <row r="39" spans="1:12" s="142" customFormat="1" ht="12.75" customHeight="1" x14ac:dyDescent="0.25">
      <c r="A39" s="151"/>
      <c r="B39" s="152" t="s">
        <v>4</v>
      </c>
      <c r="C39" s="219"/>
      <c r="D39" s="206">
        <v>0.60789808620884067</v>
      </c>
      <c r="E39" s="154" t="s">
        <v>508</v>
      </c>
      <c r="F39" s="206">
        <v>0.13774320600851639</v>
      </c>
      <c r="G39" s="154" t="s">
        <v>508</v>
      </c>
      <c r="H39" s="206">
        <v>0.43435378260339708</v>
      </c>
      <c r="I39" s="154" t="s">
        <v>508</v>
      </c>
      <c r="J39" s="206">
        <v>3.5801097596927164E-2</v>
      </c>
      <c r="K39" s="154" t="s">
        <v>508</v>
      </c>
      <c r="L39" s="206"/>
    </row>
    <row r="40" spans="1:12" s="142" customFormat="1" ht="12.75" customHeight="1" x14ac:dyDescent="0.25">
      <c r="A40" s="151"/>
      <c r="B40" s="152"/>
      <c r="C40" s="219"/>
      <c r="D40" s="206"/>
      <c r="E40" s="154"/>
      <c r="F40" s="206"/>
      <c r="G40" s="154"/>
      <c r="H40" s="206"/>
      <c r="I40" s="154"/>
      <c r="J40" s="206"/>
      <c r="K40" s="154"/>
      <c r="L40" s="206"/>
    </row>
    <row r="41" spans="1:12" s="142" customFormat="1" ht="12.75" customHeight="1" x14ac:dyDescent="0.25">
      <c r="A41" s="151">
        <v>2014</v>
      </c>
      <c r="B41" s="152" t="s">
        <v>1</v>
      </c>
      <c r="C41" s="219"/>
      <c r="D41" s="206">
        <v>0.59785108917727836</v>
      </c>
      <c r="E41" s="154" t="s">
        <v>508</v>
      </c>
      <c r="F41" s="206">
        <v>0.13927106912396015</v>
      </c>
      <c r="G41" s="154" t="s">
        <v>508</v>
      </c>
      <c r="H41" s="206">
        <v>0.42534742160943806</v>
      </c>
      <c r="I41" s="154" t="s">
        <v>508</v>
      </c>
      <c r="J41" s="206">
        <v>3.3232598443880157E-2</v>
      </c>
      <c r="K41" s="154" t="s">
        <v>508</v>
      </c>
      <c r="L41" s="206"/>
    </row>
    <row r="42" spans="1:12" s="142" customFormat="1" ht="12.75" customHeight="1" x14ac:dyDescent="0.25">
      <c r="A42" s="151"/>
      <c r="B42" s="152" t="s">
        <v>2</v>
      </c>
      <c r="C42" s="219"/>
      <c r="D42" s="206">
        <v>0.56660541191753078</v>
      </c>
      <c r="E42" s="154" t="s">
        <v>508</v>
      </c>
      <c r="F42" s="206">
        <v>0.13473684004866349</v>
      </c>
      <c r="G42" s="154" t="s">
        <v>508</v>
      </c>
      <c r="H42" s="206">
        <v>0.40047393567482042</v>
      </c>
      <c r="I42" s="154" t="s">
        <v>508</v>
      </c>
      <c r="J42" s="206">
        <v>3.1394636194046935E-2</v>
      </c>
      <c r="K42" s="154" t="s">
        <v>508</v>
      </c>
      <c r="L42" s="206"/>
    </row>
    <row r="43" spans="1:12" s="142" customFormat="1" ht="12.75" customHeight="1" x14ac:dyDescent="0.25">
      <c r="A43" s="151"/>
      <c r="B43" s="152" t="s">
        <v>3</v>
      </c>
      <c r="C43" s="219"/>
      <c r="D43" s="206">
        <v>0.54389010365125168</v>
      </c>
      <c r="E43" s="154" t="s">
        <v>508</v>
      </c>
      <c r="F43" s="206">
        <v>0.13023581968795014</v>
      </c>
      <c r="G43" s="154" t="s">
        <v>508</v>
      </c>
      <c r="H43" s="206">
        <v>0.38337022978565605</v>
      </c>
      <c r="I43" s="154" t="s">
        <v>508</v>
      </c>
      <c r="J43" s="206">
        <v>3.0284054177645407E-2</v>
      </c>
      <c r="K43" s="154" t="s">
        <v>508</v>
      </c>
      <c r="L43" s="206"/>
    </row>
    <row r="44" spans="1:12" s="142" customFormat="1" ht="12.75" customHeight="1" x14ac:dyDescent="0.25">
      <c r="A44" s="151"/>
      <c r="B44" s="152" t="s">
        <v>4</v>
      </c>
      <c r="C44" s="219"/>
      <c r="D44" s="206">
        <v>0.53067407911128328</v>
      </c>
      <c r="E44" s="154" t="s">
        <v>508</v>
      </c>
      <c r="F44" s="206">
        <v>0.13256261090093591</v>
      </c>
      <c r="G44" s="154" t="s">
        <v>508</v>
      </c>
      <c r="H44" s="206">
        <v>0.36711547024203267</v>
      </c>
      <c r="I44" s="154" t="s">
        <v>508</v>
      </c>
      <c r="J44" s="206">
        <v>3.099599796831471E-2</v>
      </c>
      <c r="K44" s="154" t="s">
        <v>508</v>
      </c>
      <c r="L44" s="206"/>
    </row>
    <row r="45" spans="1:12" s="142" customFormat="1" ht="12.75" customHeight="1" x14ac:dyDescent="0.25">
      <c r="A45" s="151"/>
      <c r="B45" s="152"/>
      <c r="C45" s="219"/>
      <c r="D45" s="206"/>
      <c r="E45" s="154"/>
      <c r="F45" s="206"/>
      <c r="G45" s="154"/>
      <c r="H45" s="206"/>
      <c r="I45" s="154"/>
      <c r="J45" s="206"/>
      <c r="K45" s="154"/>
      <c r="L45" s="206"/>
    </row>
    <row r="46" spans="1:12" s="142" customFormat="1" ht="12.75" customHeight="1" x14ac:dyDescent="0.25">
      <c r="A46" s="151">
        <v>2015</v>
      </c>
      <c r="B46" s="152" t="s">
        <v>1</v>
      </c>
      <c r="C46" s="219"/>
      <c r="D46" s="206">
        <v>0.50730193420121161</v>
      </c>
      <c r="E46" s="154" t="s">
        <v>508</v>
      </c>
      <c r="F46" s="206">
        <v>0.12429659518669403</v>
      </c>
      <c r="G46" s="154" t="s">
        <v>508</v>
      </c>
      <c r="H46" s="206">
        <v>0.35317831324647314</v>
      </c>
      <c r="I46" s="154" t="s">
        <v>508</v>
      </c>
      <c r="J46" s="206">
        <v>2.9827025768044468E-2</v>
      </c>
      <c r="K46" s="154" t="s">
        <v>508</v>
      </c>
      <c r="L46" s="206"/>
    </row>
    <row r="47" spans="1:12" s="142" customFormat="1" ht="12.75" customHeight="1" x14ac:dyDescent="0.25">
      <c r="A47" s="151"/>
      <c r="B47" s="152" t="s">
        <v>2</v>
      </c>
      <c r="C47" s="219"/>
      <c r="D47" s="206">
        <v>0.48612301512870915</v>
      </c>
      <c r="E47" s="154" t="s">
        <v>508</v>
      </c>
      <c r="F47" s="206">
        <v>0.11473183049366387</v>
      </c>
      <c r="G47" s="154" t="s">
        <v>508</v>
      </c>
      <c r="H47" s="206">
        <v>0.34303967452194434</v>
      </c>
      <c r="I47" s="154" t="s">
        <v>508</v>
      </c>
      <c r="J47" s="206">
        <v>2.8351510113100942E-2</v>
      </c>
      <c r="K47" s="154" t="s">
        <v>508</v>
      </c>
      <c r="L47" s="206"/>
    </row>
    <row r="48" spans="1:12" s="142" customFormat="1" ht="12.75" customHeight="1" x14ac:dyDescent="0.25">
      <c r="A48" s="151"/>
      <c r="B48" s="152" t="s">
        <v>3</v>
      </c>
      <c r="C48" s="219"/>
      <c r="D48" s="206">
        <v>0.46560900713632319</v>
      </c>
      <c r="E48" s="154" t="s">
        <v>508</v>
      </c>
      <c r="F48" s="206">
        <v>0.10439574040014472</v>
      </c>
      <c r="G48" s="154" t="s">
        <v>508</v>
      </c>
      <c r="H48" s="206">
        <v>0.33541470301197396</v>
      </c>
      <c r="I48" s="154" t="s">
        <v>508</v>
      </c>
      <c r="J48" s="206">
        <v>2.5798563724204568E-2</v>
      </c>
      <c r="K48" s="154" t="s">
        <v>508</v>
      </c>
      <c r="L48" s="206"/>
    </row>
    <row r="49" spans="1:27" s="142" customFormat="1" ht="12.75" customHeight="1" x14ac:dyDescent="0.25">
      <c r="A49" s="151"/>
      <c r="B49" s="152" t="s">
        <v>4</v>
      </c>
      <c r="C49" s="219"/>
      <c r="D49" s="206">
        <v>0.44320461807297051</v>
      </c>
      <c r="E49" s="154" t="s">
        <v>508</v>
      </c>
      <c r="F49" s="206">
        <v>9.4740521022035631E-2</v>
      </c>
      <c r="G49" s="154" t="s">
        <v>508</v>
      </c>
      <c r="H49" s="206">
        <v>0.32777137681386165</v>
      </c>
      <c r="I49" s="154" t="s">
        <v>508</v>
      </c>
      <c r="J49" s="206">
        <v>2.0692720237073206E-2</v>
      </c>
      <c r="K49" s="154" t="s">
        <v>508</v>
      </c>
      <c r="L49" s="206"/>
    </row>
    <row r="50" spans="1:27" s="142" customFormat="1" ht="12.75" customHeight="1" x14ac:dyDescent="0.25">
      <c r="A50" s="151"/>
      <c r="B50" s="152"/>
      <c r="C50" s="219"/>
      <c r="D50" s="206"/>
      <c r="E50" s="154"/>
      <c r="F50" s="206"/>
      <c r="G50" s="154"/>
      <c r="H50" s="206"/>
      <c r="I50" s="154"/>
      <c r="J50" s="206"/>
      <c r="K50" s="154"/>
      <c r="L50" s="206"/>
    </row>
    <row r="51" spans="1:27" s="142" customFormat="1" ht="12.75" customHeight="1" x14ac:dyDescent="0.25">
      <c r="A51" s="151">
        <v>2016</v>
      </c>
      <c r="B51" s="152" t="s">
        <v>1</v>
      </c>
      <c r="C51" s="219" t="s">
        <v>197</v>
      </c>
      <c r="D51" s="206">
        <v>0.4270644826289387</v>
      </c>
      <c r="E51" s="154" t="s">
        <v>508</v>
      </c>
      <c r="F51" s="206">
        <v>9.0020231193153888E-2</v>
      </c>
      <c r="G51" s="154" t="s">
        <v>508</v>
      </c>
      <c r="H51" s="206">
        <v>0.32077359404403727</v>
      </c>
      <c r="I51" s="154" t="s">
        <v>508</v>
      </c>
      <c r="J51" s="206">
        <v>1.6270657391747569E-2</v>
      </c>
      <c r="K51" s="154" t="s">
        <v>508</v>
      </c>
      <c r="L51" s="206"/>
    </row>
    <row r="52" spans="1:27" s="142" customFormat="1" ht="12.75" customHeight="1" x14ac:dyDescent="0.25">
      <c r="A52" s="151"/>
      <c r="B52" s="152" t="s">
        <v>2</v>
      </c>
      <c r="C52" s="219" t="s">
        <v>197</v>
      </c>
      <c r="D52" s="206">
        <v>0.41556137128294873</v>
      </c>
      <c r="E52" s="154" t="s">
        <v>508</v>
      </c>
      <c r="F52" s="206">
        <v>8.4946563414459691E-2</v>
      </c>
      <c r="G52" s="154" t="s">
        <v>508</v>
      </c>
      <c r="H52" s="206">
        <v>0.31657300810824329</v>
      </c>
      <c r="I52" s="154" t="s">
        <v>508</v>
      </c>
      <c r="J52" s="206">
        <v>1.4041799760245756E-2</v>
      </c>
      <c r="K52" s="154" t="s">
        <v>508</v>
      </c>
      <c r="L52" s="206"/>
    </row>
    <row r="53" spans="1:27" s="142" customFormat="1" ht="12.75" customHeight="1" x14ac:dyDescent="0.25">
      <c r="A53" s="151"/>
      <c r="B53" s="152" t="s">
        <v>3</v>
      </c>
      <c r="C53" s="219" t="s">
        <v>197</v>
      </c>
      <c r="D53" s="206">
        <v>0.40930815720143926</v>
      </c>
      <c r="E53" s="154" t="s">
        <v>508</v>
      </c>
      <c r="F53" s="206">
        <v>8.4056296580291012E-2</v>
      </c>
      <c r="G53" s="154" t="s">
        <v>508</v>
      </c>
      <c r="H53" s="206">
        <v>0.31244446631971334</v>
      </c>
      <c r="I53" s="154" t="s">
        <v>508</v>
      </c>
      <c r="J53" s="206">
        <v>1.2807394301434872E-2</v>
      </c>
      <c r="K53" s="154" t="s">
        <v>508</v>
      </c>
      <c r="L53" s="206"/>
    </row>
    <row r="54" spans="1:27" s="142" customFormat="1" ht="12.75" customHeight="1" x14ac:dyDescent="0.25">
      <c r="A54" s="152"/>
      <c r="B54" s="152" t="s">
        <v>4</v>
      </c>
      <c r="C54" s="219" t="s">
        <v>197</v>
      </c>
      <c r="D54" s="206">
        <v>0.46566370599739243</v>
      </c>
      <c r="E54" s="154" t="s">
        <v>508</v>
      </c>
      <c r="F54" s="206">
        <v>8.9196952411994782E-2</v>
      </c>
      <c r="G54" s="154" t="s">
        <v>508</v>
      </c>
      <c r="H54" s="206">
        <v>0.36332708604954367</v>
      </c>
      <c r="I54" s="154" t="s">
        <v>508</v>
      </c>
      <c r="J54" s="206">
        <v>1.3139667535853975E-2</v>
      </c>
      <c r="K54" s="154" t="s">
        <v>508</v>
      </c>
      <c r="L54" s="206"/>
    </row>
    <row r="55" spans="1:27" s="142" customFormat="1" ht="12.75" customHeight="1" x14ac:dyDescent="0.25">
      <c r="A55" s="151"/>
      <c r="B55" s="152"/>
      <c r="C55" s="219"/>
      <c r="D55" s="206"/>
      <c r="E55" s="154"/>
      <c r="F55" s="206"/>
      <c r="G55" s="154"/>
      <c r="H55" s="206"/>
      <c r="I55" s="154"/>
      <c r="J55" s="206"/>
      <c r="K55" s="154"/>
      <c r="L55" s="206"/>
    </row>
    <row r="56" spans="1:27" s="142" customFormat="1" ht="12.75" customHeight="1" x14ac:dyDescent="0.25">
      <c r="A56" s="151">
        <v>2017</v>
      </c>
      <c r="B56" s="152" t="s">
        <v>1</v>
      </c>
      <c r="C56" s="219" t="s">
        <v>415</v>
      </c>
      <c r="D56" s="206">
        <v>0.46845125073881777</v>
      </c>
      <c r="E56" s="154" t="s">
        <v>508</v>
      </c>
      <c r="F56" s="206">
        <v>8.8503954512817992E-2</v>
      </c>
      <c r="G56" s="154" t="s">
        <v>508</v>
      </c>
      <c r="H56" s="206">
        <v>0.3653871623088672</v>
      </c>
      <c r="I56" s="154" t="s">
        <v>508</v>
      </c>
      <c r="J56" s="206">
        <v>1.4560133917132533E-2</v>
      </c>
      <c r="K56" s="154" t="s">
        <v>508</v>
      </c>
      <c r="L56" s="206"/>
      <c r="AA56" s="142" t="s">
        <v>508</v>
      </c>
    </row>
    <row r="57" spans="1:27" s="142" customFormat="1" ht="12.75" customHeight="1" thickBot="1" x14ac:dyDescent="0.3">
      <c r="A57" s="152"/>
      <c r="B57" s="156"/>
      <c r="C57" s="220"/>
      <c r="D57" s="206"/>
      <c r="E57" s="154"/>
      <c r="F57" s="206"/>
      <c r="G57" s="154"/>
      <c r="H57" s="206"/>
      <c r="I57" s="154"/>
      <c r="J57" s="206"/>
      <c r="K57" s="154"/>
      <c r="L57" s="206"/>
    </row>
    <row r="58" spans="1:27" s="142" customFormat="1" ht="12.75" customHeight="1" x14ac:dyDescent="0.2">
      <c r="A58" s="159" t="s">
        <v>510</v>
      </c>
      <c r="B58" s="159"/>
      <c r="C58" s="221"/>
      <c r="D58" s="207"/>
      <c r="E58" s="221"/>
      <c r="F58" s="207"/>
      <c r="G58" s="221"/>
      <c r="H58" s="207"/>
      <c r="I58" s="221"/>
      <c r="J58" s="207"/>
      <c r="K58" s="221"/>
      <c r="L58" s="207"/>
    </row>
    <row r="59" spans="1:27" s="142" customFormat="1" ht="12.75" customHeight="1" x14ac:dyDescent="0.2">
      <c r="A59" s="160"/>
      <c r="B59" s="160"/>
      <c r="C59" s="161"/>
      <c r="D59" s="208"/>
      <c r="E59" s="161"/>
      <c r="F59" s="208"/>
      <c r="G59" s="161"/>
      <c r="H59" s="208"/>
      <c r="I59" s="161"/>
      <c r="J59" s="208"/>
      <c r="K59" s="161"/>
      <c r="L59" s="208"/>
    </row>
    <row r="60" spans="1:27" s="142" customFormat="1" ht="12.75" customHeight="1" x14ac:dyDescent="0.2">
      <c r="A60" s="162">
        <v>2016</v>
      </c>
      <c r="B60" s="163" t="s">
        <v>4</v>
      </c>
      <c r="C60" s="222"/>
      <c r="D60" s="209">
        <v>2.7875447414253407E-3</v>
      </c>
      <c r="E60" s="161"/>
      <c r="F60" s="209">
        <v>-6.9299789917678933E-4</v>
      </c>
      <c r="G60" s="161"/>
      <c r="H60" s="209">
        <v>2.0600762593235289E-3</v>
      </c>
      <c r="I60" s="161"/>
      <c r="J60" s="209">
        <v>1.4204663812785578E-3</v>
      </c>
      <c r="K60" s="161"/>
      <c r="L60" s="209"/>
    </row>
    <row r="61" spans="1:27" s="142" customFormat="1" ht="12.75" customHeight="1" x14ac:dyDescent="0.2">
      <c r="A61" s="165"/>
      <c r="B61" s="166"/>
      <c r="C61" s="223"/>
      <c r="D61" s="210"/>
      <c r="E61" s="281"/>
      <c r="F61" s="210"/>
      <c r="G61" s="281"/>
      <c r="H61" s="210"/>
      <c r="I61" s="281"/>
      <c r="J61" s="210"/>
      <c r="K61" s="281"/>
      <c r="L61" s="210"/>
    </row>
    <row r="62" spans="1:27" s="142" customFormat="1" ht="12.75" customHeight="1" thickBot="1" x14ac:dyDescent="0.25">
      <c r="A62" s="157">
        <v>2016</v>
      </c>
      <c r="B62" s="158" t="s">
        <v>1</v>
      </c>
      <c r="C62" s="224"/>
      <c r="D62" s="211">
        <v>4.1386768109879069E-2</v>
      </c>
      <c r="E62" s="282"/>
      <c r="F62" s="211">
        <v>-1.5162766803358957E-3</v>
      </c>
      <c r="G62" s="282"/>
      <c r="H62" s="211">
        <v>4.4613568264829928E-2</v>
      </c>
      <c r="I62" s="282"/>
      <c r="J62" s="211">
        <v>-1.7105234746150368E-3</v>
      </c>
      <c r="K62" s="282"/>
      <c r="L62" s="211"/>
    </row>
    <row r="63" spans="1:27" s="169" customFormat="1" ht="12.75" customHeight="1" x14ac:dyDescent="0.2">
      <c r="A63" s="342"/>
      <c r="B63" s="342"/>
      <c r="C63" s="342"/>
      <c r="D63" s="342"/>
      <c r="E63" s="342"/>
      <c r="F63" s="342"/>
      <c r="G63" s="342"/>
      <c r="H63" s="342"/>
      <c r="I63" s="342"/>
      <c r="J63" s="342"/>
      <c r="K63" s="342"/>
    </row>
    <row r="64" spans="1:27" s="169" customFormat="1" ht="15" x14ac:dyDescent="0.2">
      <c r="A64" s="340" t="s">
        <v>265</v>
      </c>
      <c r="B64" s="340"/>
      <c r="C64" s="340"/>
      <c r="D64" s="340"/>
      <c r="E64" s="340"/>
      <c r="F64" s="340"/>
      <c r="G64" s="340"/>
      <c r="H64" s="340"/>
      <c r="I64" s="340"/>
      <c r="J64" s="340"/>
      <c r="K64" s="340"/>
      <c r="L64" s="340"/>
      <c r="M64" s="340"/>
      <c r="N64" s="340"/>
      <c r="O64" s="340"/>
    </row>
    <row r="65" spans="1:15" s="169" customFormat="1" ht="48.75" customHeight="1" x14ac:dyDescent="0.2">
      <c r="A65" s="340" t="s">
        <v>235</v>
      </c>
      <c r="B65" s="340"/>
      <c r="C65" s="340"/>
      <c r="D65" s="340"/>
      <c r="E65" s="340"/>
      <c r="F65" s="340"/>
      <c r="G65" s="340"/>
      <c r="H65" s="340"/>
      <c r="I65" s="340"/>
      <c r="J65" s="340"/>
      <c r="K65" s="340"/>
    </row>
    <row r="66" spans="1:15" s="170" customFormat="1" ht="32.25" customHeight="1" x14ac:dyDescent="0.3">
      <c r="A66" s="340" t="s">
        <v>473</v>
      </c>
      <c r="B66" s="340"/>
      <c r="C66" s="340"/>
      <c r="D66" s="340"/>
      <c r="E66" s="340"/>
      <c r="F66" s="340"/>
      <c r="G66" s="340"/>
      <c r="H66" s="340"/>
      <c r="I66" s="340"/>
      <c r="J66" s="340"/>
      <c r="K66" s="340"/>
      <c r="L66" s="310"/>
      <c r="M66" s="310"/>
      <c r="N66" s="310"/>
      <c r="O66" s="310"/>
    </row>
    <row r="67" spans="1:15" s="171" customFormat="1" ht="35.25" customHeight="1" x14ac:dyDescent="0.3">
      <c r="A67" s="340" t="s">
        <v>423</v>
      </c>
      <c r="B67" s="340"/>
      <c r="C67" s="340"/>
      <c r="D67" s="340"/>
      <c r="E67" s="340"/>
      <c r="F67" s="340"/>
      <c r="G67" s="340"/>
      <c r="H67" s="340"/>
      <c r="I67" s="340"/>
      <c r="J67" s="340"/>
      <c r="K67" s="340"/>
      <c r="L67" s="170"/>
      <c r="M67" s="170"/>
      <c r="N67" s="170"/>
      <c r="O67" s="170"/>
    </row>
    <row r="68" spans="1:15" s="171" customFormat="1" ht="27.75" customHeight="1" x14ac:dyDescent="0.3">
      <c r="A68" s="345"/>
      <c r="B68" s="345"/>
      <c r="C68" s="345"/>
      <c r="D68" s="345"/>
      <c r="E68" s="345"/>
      <c r="F68" s="345"/>
      <c r="G68" s="345"/>
      <c r="H68" s="345"/>
      <c r="I68" s="345"/>
      <c r="J68" s="345"/>
      <c r="K68" s="345"/>
    </row>
    <row r="69" spans="1:15" ht="12.75" customHeight="1" x14ac:dyDescent="0.3">
      <c r="A69" s="345"/>
      <c r="B69" s="345"/>
      <c r="C69" s="345"/>
      <c r="D69" s="345"/>
      <c r="E69" s="345"/>
      <c r="F69" s="345"/>
      <c r="G69" s="345"/>
      <c r="H69" s="345"/>
      <c r="I69" s="345"/>
      <c r="J69" s="345"/>
      <c r="K69" s="345"/>
      <c r="L69" s="171"/>
      <c r="M69" s="171"/>
      <c r="N69" s="171"/>
      <c r="O69" s="171"/>
    </row>
    <row r="70" spans="1:15" ht="12.75" customHeight="1" x14ac:dyDescent="0.3">
      <c r="A70" s="345"/>
      <c r="B70" s="345"/>
      <c r="C70" s="345"/>
      <c r="D70" s="345"/>
      <c r="E70" s="345"/>
      <c r="F70" s="345"/>
      <c r="G70" s="345"/>
      <c r="H70" s="345"/>
      <c r="I70" s="345"/>
      <c r="J70" s="345"/>
      <c r="K70" s="345"/>
    </row>
    <row r="71" spans="1:15" ht="12.75" customHeight="1" x14ac:dyDescent="0.3">
      <c r="A71" s="345"/>
      <c r="B71" s="345"/>
      <c r="C71" s="345"/>
      <c r="D71" s="345"/>
      <c r="E71" s="345"/>
      <c r="F71" s="345"/>
      <c r="G71" s="345"/>
      <c r="H71" s="345"/>
      <c r="I71" s="345"/>
      <c r="J71" s="345"/>
      <c r="K71" s="345"/>
    </row>
    <row r="72" spans="1:15" ht="12.75" customHeight="1" x14ac:dyDescent="0.3">
      <c r="A72" s="345"/>
      <c r="B72" s="345"/>
      <c r="C72" s="345"/>
      <c r="D72" s="345"/>
      <c r="E72" s="345"/>
      <c r="F72" s="345"/>
      <c r="G72" s="345"/>
      <c r="H72" s="345"/>
      <c r="I72" s="345"/>
      <c r="J72" s="345"/>
      <c r="K72" s="345"/>
    </row>
    <row r="73" spans="1:15" ht="12.75" customHeight="1" x14ac:dyDescent="0.3">
      <c r="A73" s="345"/>
      <c r="B73" s="345"/>
      <c r="C73" s="345"/>
      <c r="D73" s="345"/>
      <c r="E73" s="345"/>
      <c r="F73" s="345"/>
      <c r="G73" s="345"/>
      <c r="H73" s="345"/>
      <c r="I73" s="345"/>
      <c r="J73" s="345"/>
      <c r="K73" s="345"/>
    </row>
    <row r="74" spans="1:15" ht="12.75" customHeight="1" x14ac:dyDescent="0.3">
      <c r="A74" s="345"/>
      <c r="B74" s="345"/>
      <c r="C74" s="345"/>
      <c r="D74" s="345"/>
      <c r="E74" s="345"/>
      <c r="F74" s="345"/>
      <c r="G74" s="345"/>
      <c r="H74" s="345"/>
      <c r="I74" s="345"/>
      <c r="J74" s="345"/>
      <c r="K74" s="345"/>
    </row>
    <row r="75" spans="1:15" ht="12.75" customHeight="1" x14ac:dyDescent="0.3">
      <c r="A75" s="345"/>
      <c r="B75" s="345"/>
      <c r="C75" s="345"/>
      <c r="D75" s="345"/>
      <c r="E75" s="345"/>
      <c r="F75" s="345"/>
      <c r="G75" s="345"/>
      <c r="H75" s="345"/>
      <c r="I75" s="345"/>
      <c r="J75" s="345"/>
      <c r="K75" s="345"/>
    </row>
  </sheetData>
  <dataConsolidate/>
  <mergeCells count="18">
    <mergeCell ref="J4:K4"/>
    <mergeCell ref="A63:K63"/>
    <mergeCell ref="A65:K65"/>
    <mergeCell ref="A67:K67"/>
    <mergeCell ref="A68:K68"/>
    <mergeCell ref="A64:O64"/>
    <mergeCell ref="A75:K75"/>
    <mergeCell ref="D5:E5"/>
    <mergeCell ref="F5:G5"/>
    <mergeCell ref="H5:I5"/>
    <mergeCell ref="J5:K5"/>
    <mergeCell ref="A69:K69"/>
    <mergeCell ref="A70:K70"/>
    <mergeCell ref="A71:K71"/>
    <mergeCell ref="A72:K72"/>
    <mergeCell ref="A73:K73"/>
    <mergeCell ref="A74:K74"/>
    <mergeCell ref="A66:K66"/>
  </mergeCells>
  <hyperlinks>
    <hyperlink ref="A3" location="'Table Contents'!A1" display="Back to contents"/>
  </hyperlinks>
  <printOptions horizontalCentered="1" verticalCentered="1" gridLinesSet="0"/>
  <pageMargins left="0.19685039370078741" right="0.19685039370078741" top="0.19685039370078741" bottom="0.19685039370078741" header="0.39370078740157483" footer="0.39370078740157483"/>
  <pageSetup paperSize="9" scale="45" orientation="portrait" horizontalDpi="300" vertic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22</vt:i4>
      </vt:variant>
    </vt:vector>
  </HeadingPairs>
  <TitlesOfParts>
    <vt:vector size="46" baseType="lpstr">
      <vt:lpstr>Input data (2)</vt:lpstr>
      <vt:lpstr>Output data - DO NOT TOUCH (2)</vt:lpstr>
      <vt:lpstr>Table Cover sheet</vt:lpstr>
      <vt:lpstr>Table contents</vt:lpstr>
      <vt:lpstr>Table Notes</vt:lpstr>
      <vt:lpstr>Table 1a</vt:lpstr>
      <vt:lpstr>Table 1b</vt:lpstr>
      <vt:lpstr>Table 2</vt:lpstr>
      <vt:lpstr>Table 3</vt:lpstr>
      <vt:lpstr>Table 4a</vt:lpstr>
      <vt:lpstr>Table 4b</vt:lpstr>
      <vt:lpstr>Table 5</vt:lpstr>
      <vt:lpstr>Table 6a</vt:lpstr>
      <vt:lpstr>Table 6b</vt:lpstr>
      <vt:lpstr>Table 7a</vt:lpstr>
      <vt:lpstr>Table 7b</vt:lpstr>
      <vt:lpstr>Table 8a</vt:lpstr>
      <vt:lpstr>Table 8b</vt:lpstr>
      <vt:lpstr>Table 9</vt:lpstr>
      <vt:lpstr>Table 10</vt:lpstr>
      <vt:lpstr>Table 11</vt:lpstr>
      <vt:lpstr>Table 12</vt:lpstr>
      <vt:lpstr>Table 13</vt:lpstr>
      <vt:lpstr>Table 14</vt:lpstr>
      <vt:lpstr>'Input data (2)'!Print_Area</vt:lpstr>
      <vt:lpstr>'Table 10'!Print_Area</vt:lpstr>
      <vt:lpstr>'Table 11'!Print_Area</vt:lpstr>
      <vt:lpstr>'Table 12'!Print_Area</vt:lpstr>
      <vt:lpstr>'Table 13'!Print_Area</vt:lpstr>
      <vt:lpstr>'Table 14'!Print_Area</vt:lpstr>
      <vt:lpstr>'Table 1a'!Print_Area</vt:lpstr>
      <vt:lpstr>'Table 1b'!Print_Area</vt:lpstr>
      <vt:lpstr>'Table 2'!Print_Area</vt:lpstr>
      <vt:lpstr>'Table 3'!Print_Area</vt:lpstr>
      <vt:lpstr>'Table 4a'!Print_Area</vt:lpstr>
      <vt:lpstr>'Table 4b'!Print_Area</vt:lpstr>
      <vt:lpstr>'Table 5'!Print_Area</vt:lpstr>
      <vt:lpstr>'Table 6a'!Print_Area</vt:lpstr>
      <vt:lpstr>'Table 6b'!Print_Area</vt:lpstr>
      <vt:lpstr>'Table 7a'!Print_Area</vt:lpstr>
      <vt:lpstr>'Table 7b'!Print_Area</vt:lpstr>
      <vt:lpstr>'Table 8a'!Print_Area</vt:lpstr>
      <vt:lpstr>'Table 8b'!Print_Area</vt:lpstr>
      <vt:lpstr>'Table 9'!Print_Area</vt:lpstr>
      <vt:lpstr>'Table Notes'!Print_Area</vt:lpstr>
      <vt:lpstr>'Input data (2)'!Print_Titles</vt:lpstr>
    </vt:vector>
  </TitlesOfParts>
  <Company>The Insolvency Service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 Kenchatt</dc:creator>
  <cp:lastModifiedBy>John.Perrett</cp:lastModifiedBy>
  <cp:lastPrinted>2017-04-24T12:58:11Z</cp:lastPrinted>
  <dcterms:created xsi:type="dcterms:W3CDTF">2008-05-07T13:04:23Z</dcterms:created>
  <dcterms:modified xsi:type="dcterms:W3CDTF">2017-04-25T17:53:32Z</dcterms:modified>
</cp:coreProperties>
</file>