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SGS1\Child Based Returns\CLA-NPD\2016\SFR\Final documents\AT - Documents for web\"/>
    </mc:Choice>
  </mc:AlternateContent>
  <workbookProtection workbookAlgorithmName="SHA-512" workbookHashValue="9YR2uUZ5H/ckKS/39rq0aDLoIrx1w+exsGeGJUktlWqlrSBGK9tnPwm5rZ5pfrU5oZdI7OxJ3inrGLG2pvRHug==" workbookSaltValue="Jhnliw7uRPKzdBiJAk6rDA==" workbookSpinCount="100000" lockStructure="1"/>
  <bookViews>
    <workbookView xWindow="0" yWindow="0" windowWidth="22500" windowHeight="11295" tabRatio="676"/>
  </bookViews>
  <sheets>
    <sheet name="INDEX" sheetId="1" r:id="rId1"/>
    <sheet name=" Table A1 feeder rounded values" sheetId="29" state="hidden" r:id="rId2"/>
    <sheet name="Table A1" sheetId="2" r:id="rId3"/>
    <sheet name="Table 2a All" sheetId="21" state="hidden" r:id="rId4"/>
    <sheet name="Table A2 feeder rounded values" sheetId="28" state="hidden" r:id="rId5"/>
    <sheet name="Table A2" sheetId="4" r:id="rId6"/>
    <sheet name="Table 2b All" sheetId="22" state="hidden" r:id="rId7"/>
    <sheet name="Table B1 feeder rounded values" sheetId="30" state="hidden" r:id="rId8"/>
    <sheet name="Table B1" sheetId="5" r:id="rId9"/>
    <sheet name="Table 3a All" sheetId="23" state="hidden" r:id="rId10"/>
    <sheet name="Table B2 feeder rounded values" sheetId="31" state="hidden" r:id="rId11"/>
    <sheet name="Table B2" sheetId="8" r:id="rId12"/>
    <sheet name="Table B3 feeder rounded values" sheetId="32" state="hidden" r:id="rId13"/>
    <sheet name="Table B3" sheetId="9" r:id="rId14"/>
    <sheet name="Table 3c All" sheetId="25" state="hidden" r:id="rId15"/>
    <sheet name="Table B4" sheetId="10" r:id="rId16"/>
  </sheets>
  <definedNames>
    <definedName name="_xlnm._FilterDatabase" localSheetId="5" hidden="1">'Table A2'!$AA$1:$AA$3</definedName>
    <definedName name="_xlnm._FilterDatabase" localSheetId="15" hidden="1">'Table B4'!#REF!</definedName>
    <definedName name="_xlnm.Extract" localSheetId="15">'Table B4'!$D$1:$D$3</definedName>
    <definedName name="Female">'Table 2b All'!$C$13:$K$45</definedName>
    <definedName name="Male">'Table 2b All'!$O$13:$W$45</definedName>
    <definedName name="_xlnm.Print_Area" localSheetId="0">INDEX!$A$1:$K$32</definedName>
    <definedName name="_xlnm.Print_Area" localSheetId="2">'Table A1'!$A$1:$R$69</definedName>
    <definedName name="_xlnm.Print_Area" localSheetId="5">'Table A2'!$A$1:$U$53</definedName>
    <definedName name="_xlnm.Print_Area" localSheetId="8">'Table B1'!$A$1:$M$50</definedName>
    <definedName name="_xlnm.Print_Area" localSheetId="11">'Table B2'!$A$1:$J$38</definedName>
    <definedName name="_xlnm.Print_Area" localSheetId="15">'Table B4'!$A$1:$L$18</definedName>
    <definedName name="Table3aAchievingEbaccNumbers">'Table 3a All'!$B$45:$BO$52</definedName>
    <definedName name="Table3aAchievingEbaccPercentages">'Table 3a All'!$B$54:$BO$61</definedName>
    <definedName name="Table3aEnglishandMathematicsNumbers">'Table 3a All'!$B$5:$BO$12</definedName>
    <definedName name="Table3aEnglishandMathematicsPercentages">'Table 3a All'!$B$14:$BO$21</definedName>
    <definedName name="Table3aEnteringEbaccNumbers">'Table 3a All'!$B$25:$BO$32</definedName>
    <definedName name="Table3aEnteringEbaccPercentages">'Table 3a All'!$B$34:$BO$41</definedName>
    <definedName name="Table3cRoundedValues">'Table 3c All'!$C$6:$N$46</definedName>
    <definedName name="Total">'Table 2b All'!$AA$13:$AI$45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9" l="1"/>
  <c r="A37" i="8" l="1"/>
  <c r="A31" i="10" l="1"/>
  <c r="A49" i="5" l="1"/>
  <c r="A69" i="4"/>
  <c r="A68" i="2"/>
  <c r="AB5" i="9" l="1"/>
  <c r="U23" i="9" s="1"/>
  <c r="D25" i="32"/>
  <c r="E25" i="32" s="1"/>
  <c r="F25" i="32" s="1"/>
  <c r="G25" i="32" s="1"/>
  <c r="H25" i="32" s="1"/>
  <c r="I25" i="32" s="1"/>
  <c r="J25" i="32" s="1"/>
  <c r="K25" i="32" s="1"/>
  <c r="L25" i="32" s="1"/>
  <c r="M25" i="32" s="1"/>
  <c r="N25" i="32" s="1"/>
  <c r="O25" i="32" s="1"/>
  <c r="P25" i="32" s="1"/>
  <c r="Q25" i="32" s="1"/>
  <c r="R25" i="32" s="1"/>
  <c r="S25" i="32" s="1"/>
  <c r="T25" i="32" s="1"/>
  <c r="U25" i="32" s="1"/>
  <c r="V25" i="32" s="1"/>
  <c r="W25" i="32" s="1"/>
  <c r="X25" i="32" s="1"/>
  <c r="Y25" i="32" s="1"/>
  <c r="Z25" i="32" s="1"/>
  <c r="AA25" i="32" s="1"/>
  <c r="AB25" i="32" s="1"/>
  <c r="AC25" i="32" s="1"/>
  <c r="AD25" i="32" s="1"/>
  <c r="AE25" i="32" s="1"/>
  <c r="AF25" i="32" s="1"/>
  <c r="AG25" i="32" s="1"/>
  <c r="AH25" i="32" s="1"/>
  <c r="AI25" i="32" s="1"/>
  <c r="AJ25" i="32" s="1"/>
  <c r="AK25" i="32" s="1"/>
  <c r="AL25" i="32" s="1"/>
  <c r="AM25" i="32" s="1"/>
  <c r="AN25" i="32" s="1"/>
  <c r="AO25" i="32" s="1"/>
  <c r="AP25" i="32" s="1"/>
  <c r="AQ25" i="32" s="1"/>
  <c r="AR25" i="32" s="1"/>
  <c r="AS25" i="32" s="1"/>
  <c r="AT25" i="32" s="1"/>
  <c r="AU25" i="32" s="1"/>
  <c r="AV25" i="32" s="1"/>
  <c r="AW25" i="32" s="1"/>
  <c r="AX25" i="32" s="1"/>
  <c r="AY25" i="32" s="1"/>
  <c r="AZ25" i="32" s="1"/>
  <c r="BA25" i="32" s="1"/>
  <c r="BB25" i="32" s="1"/>
  <c r="BC25" i="32" s="1"/>
  <c r="BD25" i="32" s="1"/>
  <c r="BE25" i="32" s="1"/>
  <c r="BF25" i="32" s="1"/>
  <c r="BG25" i="32" s="1"/>
  <c r="BH25" i="32" s="1"/>
  <c r="BI25" i="32" s="1"/>
  <c r="BJ25" i="32" s="1"/>
  <c r="BK25" i="32" s="1"/>
  <c r="BL25" i="32" s="1"/>
  <c r="BM25" i="32" s="1"/>
  <c r="AB5" i="8"/>
  <c r="E21" i="31"/>
  <c r="F21" i="31" s="1"/>
  <c r="G21" i="31" s="1"/>
  <c r="H21" i="31" s="1"/>
  <c r="I21" i="31" s="1"/>
  <c r="J21" i="31" s="1"/>
  <c r="K21" i="31" s="1"/>
  <c r="L21" i="31" s="1"/>
  <c r="M21" i="31" s="1"/>
  <c r="N21" i="31" s="1"/>
  <c r="O21" i="31" s="1"/>
  <c r="P21" i="31" s="1"/>
  <c r="Q21" i="31" s="1"/>
  <c r="R21" i="31" s="1"/>
  <c r="S21" i="31" s="1"/>
  <c r="T21" i="31" s="1"/>
  <c r="U21" i="31" s="1"/>
  <c r="V21" i="31" s="1"/>
  <c r="W21" i="31" s="1"/>
  <c r="X21" i="31" s="1"/>
  <c r="Y21" i="31" s="1"/>
  <c r="Z21" i="31" s="1"/>
  <c r="AA21" i="31" s="1"/>
  <c r="AB21" i="31" s="1"/>
  <c r="AC21" i="31" s="1"/>
  <c r="AD21" i="31" s="1"/>
  <c r="AE21" i="31" s="1"/>
  <c r="AF21" i="31" s="1"/>
  <c r="D21" i="31"/>
  <c r="K11" i="31"/>
  <c r="K12" i="31" s="1"/>
  <c r="K13" i="31" s="1"/>
  <c r="K14" i="31" s="1"/>
  <c r="K15" i="31" s="1"/>
  <c r="K16" i="31" s="1"/>
  <c r="D14" i="30"/>
  <c r="D15" i="30" s="1"/>
  <c r="D16" i="30" s="1"/>
  <c r="D17" i="30" s="1"/>
  <c r="D18" i="30" s="1"/>
  <c r="D19" i="30" s="1"/>
  <c r="D20" i="30" s="1"/>
  <c r="D21" i="30" s="1"/>
  <c r="D22" i="30" s="1"/>
  <c r="D23" i="30" s="1"/>
  <c r="D24" i="30" s="1"/>
  <c r="D25" i="30" s="1"/>
  <c r="D26" i="30" s="1"/>
  <c r="D27" i="30" s="1"/>
  <c r="D28" i="30" s="1"/>
  <c r="D29" i="30" s="1"/>
  <c r="D30" i="30" s="1"/>
  <c r="D31" i="30" s="1"/>
  <c r="D32" i="30" s="1"/>
  <c r="D33" i="30" s="1"/>
  <c r="D34" i="30" s="1"/>
  <c r="D35" i="30" s="1"/>
  <c r="D36" i="30" s="1"/>
  <c r="D37" i="30" s="1"/>
  <c r="D38" i="30" s="1"/>
  <c r="D39" i="30" s="1"/>
  <c r="D40" i="30" s="1"/>
  <c r="D41" i="30" s="1"/>
  <c r="D42" i="30" s="1"/>
  <c r="D43" i="30" s="1"/>
  <c r="D44" i="30" s="1"/>
  <c r="D45" i="30" s="1"/>
  <c r="D46" i="30" s="1"/>
  <c r="D47" i="30" s="1"/>
  <c r="D48" i="30" s="1"/>
  <c r="D49" i="30" s="1"/>
  <c r="D50" i="30" s="1"/>
  <c r="D51" i="30" s="1"/>
  <c r="D52" i="30" s="1"/>
  <c r="D53" i="30" s="1"/>
  <c r="D54" i="30" s="1"/>
  <c r="D55" i="30" s="1"/>
  <c r="D56" i="30" s="1"/>
  <c r="D57" i="30" s="1"/>
  <c r="D58" i="30" s="1"/>
  <c r="D59" i="30" s="1"/>
  <c r="D60" i="30" s="1"/>
  <c r="D61" i="30" s="1"/>
  <c r="D62" i="30" s="1"/>
  <c r="D63" i="30" s="1"/>
  <c r="D64" i="30" s="1"/>
  <c r="D65" i="30" s="1"/>
  <c r="D66" i="30" s="1"/>
  <c r="D67" i="30" s="1"/>
  <c r="D68" i="30" s="1"/>
  <c r="D69" i="30" s="1"/>
  <c r="D70" i="30" s="1"/>
  <c r="D71" i="30" s="1"/>
  <c r="D72" i="30" s="1"/>
  <c r="D73" i="30" s="1"/>
  <c r="D74" i="30" s="1"/>
  <c r="D75" i="30" s="1"/>
  <c r="D76" i="30" s="1"/>
  <c r="D77" i="30" s="1"/>
  <c r="D78" i="30" s="1"/>
  <c r="D79" i="30" s="1"/>
  <c r="D80" i="30" s="1"/>
  <c r="D81" i="30" s="1"/>
  <c r="D82" i="30" s="1"/>
  <c r="D83" i="30" s="1"/>
  <c r="D84" i="30" s="1"/>
  <c r="D85" i="30" s="1"/>
  <c r="D86" i="30" s="1"/>
  <c r="D87" i="30" s="1"/>
  <c r="D88" i="30" s="1"/>
  <c r="D89" i="30" s="1"/>
  <c r="D90" i="30" s="1"/>
  <c r="D91" i="30" s="1"/>
  <c r="D92" i="30" s="1"/>
  <c r="D93" i="30" s="1"/>
  <c r="D94" i="30" s="1"/>
  <c r="D95" i="30" s="1"/>
  <c r="D96" i="30" s="1"/>
  <c r="D97" i="30" s="1"/>
  <c r="D98" i="30" s="1"/>
  <c r="D99" i="30" s="1"/>
  <c r="D100" i="30" s="1"/>
  <c r="D101" i="30" s="1"/>
  <c r="D102" i="30" s="1"/>
  <c r="D103" i="30" s="1"/>
  <c r="D104" i="30" s="1"/>
  <c r="D105" i="30" s="1"/>
  <c r="D106" i="30" s="1"/>
  <c r="D107" i="30" s="1"/>
  <c r="D108" i="30" s="1"/>
  <c r="D109" i="30" s="1"/>
  <c r="D110" i="30" s="1"/>
  <c r="D111" i="30" s="1"/>
  <c r="D112" i="30" s="1"/>
  <c r="D113" i="30" s="1"/>
  <c r="D114" i="30" s="1"/>
  <c r="D115" i="30" s="1"/>
  <c r="D116" i="30" s="1"/>
  <c r="D117" i="30" s="1"/>
  <c r="D118" i="30" s="1"/>
  <c r="D119" i="30" s="1"/>
  <c r="D120" i="30" s="1"/>
  <c r="D121" i="30" s="1"/>
  <c r="D122" i="30" s="1"/>
  <c r="D123" i="30" s="1"/>
  <c r="D124" i="30" s="1"/>
  <c r="D125" i="30" s="1"/>
  <c r="D126" i="30" s="1"/>
  <c r="D127" i="30" s="1"/>
  <c r="D128" i="30" s="1"/>
  <c r="D129" i="30" s="1"/>
  <c r="D130" i="30" s="1"/>
  <c r="D131" i="30" s="1"/>
  <c r="D132" i="30" s="1"/>
  <c r="D133" i="30" s="1"/>
  <c r="D134" i="30" s="1"/>
  <c r="D135" i="30" s="1"/>
  <c r="F8" i="30"/>
  <c r="G8" i="30" s="1"/>
  <c r="H8" i="30" s="1"/>
  <c r="I8" i="30" s="1"/>
  <c r="J8" i="30" s="1"/>
  <c r="K8" i="30" s="1"/>
  <c r="L8" i="30" s="1"/>
  <c r="M8" i="30" s="1"/>
  <c r="N8" i="30" s="1"/>
  <c r="O8" i="30" s="1"/>
  <c r="P8" i="30" s="1"/>
  <c r="Q8" i="30" s="1"/>
  <c r="R8" i="30" s="1"/>
  <c r="S8" i="30" s="1"/>
  <c r="T8" i="30" s="1"/>
  <c r="U8" i="30" s="1"/>
  <c r="V8" i="30" s="1"/>
  <c r="W8" i="30" s="1"/>
  <c r="X8" i="30" s="1"/>
  <c r="Y8" i="30" s="1"/>
  <c r="Z8" i="30" s="1"/>
  <c r="AA8" i="30" s="1"/>
  <c r="AB8" i="30" s="1"/>
  <c r="AC8" i="30" s="1"/>
  <c r="AD8" i="30" s="1"/>
  <c r="AE8" i="30" s="1"/>
  <c r="AF8" i="30" s="1"/>
  <c r="AG8" i="30" s="1"/>
  <c r="AH8" i="30" s="1"/>
  <c r="AI8" i="30" s="1"/>
  <c r="AJ8" i="30" s="1"/>
  <c r="AK8" i="30" s="1"/>
  <c r="AL8" i="30" s="1"/>
  <c r="AM8" i="30" s="1"/>
  <c r="AN8" i="30" s="1"/>
  <c r="AO8" i="30" s="1"/>
  <c r="AP8" i="30" s="1"/>
  <c r="AQ8" i="30" s="1"/>
  <c r="AR8" i="30" s="1"/>
  <c r="AS8" i="30" s="1"/>
  <c r="M15" i="9" l="1"/>
  <c r="M17" i="9"/>
  <c r="R15" i="9"/>
  <c r="R17" i="9"/>
  <c r="C15" i="9"/>
  <c r="C17" i="9"/>
  <c r="C19" i="9"/>
  <c r="H15" i="9"/>
  <c r="H17" i="9"/>
  <c r="H19" i="9"/>
  <c r="R19" i="9"/>
  <c r="H21" i="9"/>
  <c r="R21" i="9"/>
  <c r="H22" i="9"/>
  <c r="C23" i="9"/>
  <c r="D15" i="9"/>
  <c r="I15" i="9"/>
  <c r="N15" i="9"/>
  <c r="S15" i="9"/>
  <c r="D17" i="9"/>
  <c r="I17" i="9"/>
  <c r="N17" i="9"/>
  <c r="S17" i="9"/>
  <c r="D19" i="9"/>
  <c r="I19" i="9"/>
  <c r="N19" i="9"/>
  <c r="S19" i="9"/>
  <c r="D21" i="9"/>
  <c r="I21" i="9"/>
  <c r="N21" i="9"/>
  <c r="S21" i="9"/>
  <c r="D22" i="9"/>
  <c r="I22" i="9"/>
  <c r="N22" i="9"/>
  <c r="S22" i="9"/>
  <c r="D23" i="9"/>
  <c r="I23" i="9"/>
  <c r="N23" i="9"/>
  <c r="S23" i="9"/>
  <c r="M19" i="9"/>
  <c r="C21" i="9"/>
  <c r="M21" i="9"/>
  <c r="C22" i="9"/>
  <c r="M22" i="9"/>
  <c r="R22" i="9"/>
  <c r="H23" i="9"/>
  <c r="M23" i="9"/>
  <c r="R23" i="9"/>
  <c r="E15" i="9"/>
  <c r="J15" i="9"/>
  <c r="O15" i="9"/>
  <c r="T15" i="9"/>
  <c r="E17" i="9"/>
  <c r="J17" i="9"/>
  <c r="O17" i="9"/>
  <c r="T17" i="9"/>
  <c r="E19" i="9"/>
  <c r="J19" i="9"/>
  <c r="O19" i="9"/>
  <c r="T19" i="9"/>
  <c r="E21" i="9"/>
  <c r="J21" i="9"/>
  <c r="O21" i="9"/>
  <c r="T21" i="9"/>
  <c r="E22" i="9"/>
  <c r="J22" i="9"/>
  <c r="O22" i="9"/>
  <c r="T22" i="9"/>
  <c r="E23" i="9"/>
  <c r="J23" i="9"/>
  <c r="O23" i="9"/>
  <c r="T23" i="9"/>
  <c r="F15" i="9"/>
  <c r="K15" i="9"/>
  <c r="P15" i="9"/>
  <c r="U15" i="9"/>
  <c r="F17" i="9"/>
  <c r="K17" i="9"/>
  <c r="P17" i="9"/>
  <c r="U17" i="9"/>
  <c r="F19" i="9"/>
  <c r="K19" i="9"/>
  <c r="P19" i="9"/>
  <c r="U19" i="9"/>
  <c r="F21" i="9"/>
  <c r="K21" i="9"/>
  <c r="P21" i="9"/>
  <c r="U21" i="9"/>
  <c r="F22" i="9"/>
  <c r="K22" i="9"/>
  <c r="P22" i="9"/>
  <c r="U22" i="9"/>
  <c r="F23" i="9"/>
  <c r="K23" i="9"/>
  <c r="P23" i="9"/>
  <c r="I22" i="8"/>
  <c r="J16" i="8"/>
  <c r="J18" i="8"/>
  <c r="J20" i="8"/>
  <c r="J21" i="8"/>
  <c r="J22" i="8"/>
  <c r="G16" i="8"/>
  <c r="C18" i="8"/>
  <c r="G18" i="8"/>
  <c r="C20" i="8"/>
  <c r="G20" i="8"/>
  <c r="C21" i="8"/>
  <c r="G21" i="8"/>
  <c r="C22" i="8"/>
  <c r="G22" i="8"/>
  <c r="D16" i="8"/>
  <c r="H16" i="8"/>
  <c r="D18" i="8"/>
  <c r="H18" i="8"/>
  <c r="D20" i="8"/>
  <c r="H20" i="8"/>
  <c r="D21" i="8"/>
  <c r="H21" i="8"/>
  <c r="D22" i="8"/>
  <c r="H22" i="8"/>
  <c r="F16" i="8"/>
  <c r="F18" i="8"/>
  <c r="F20" i="8"/>
  <c r="F21" i="8"/>
  <c r="F22" i="8"/>
  <c r="E16" i="8"/>
  <c r="I16" i="8"/>
  <c r="E18" i="8"/>
  <c r="I18" i="8"/>
  <c r="E20" i="8"/>
  <c r="I20" i="8"/>
  <c r="E21" i="8"/>
  <c r="I21" i="8"/>
  <c r="E22" i="8"/>
  <c r="C16" i="8"/>
  <c r="V10" i="28" l="1"/>
  <c r="W10" i="28" s="1"/>
  <c r="X10" i="28" s="1"/>
  <c r="Y10" i="28" s="1"/>
  <c r="Z10" i="28" s="1"/>
  <c r="AA10" i="28" s="1"/>
  <c r="AB10" i="28" s="1"/>
  <c r="AC10" i="28" s="1"/>
  <c r="AD10" i="28" s="1"/>
  <c r="AE10" i="28" s="1"/>
  <c r="AF10" i="28" s="1"/>
  <c r="AG10" i="28" s="1"/>
  <c r="AH10" i="28" s="1"/>
  <c r="AI10" i="28" s="1"/>
  <c r="AJ10" i="28" s="1"/>
  <c r="AK10" i="28" s="1"/>
  <c r="AL10" i="28" s="1"/>
  <c r="AM10" i="28" s="1"/>
  <c r="AN10" i="28" s="1"/>
  <c r="AO10" i="28" s="1"/>
  <c r="AP10" i="28" s="1"/>
  <c r="AQ10" i="28" s="1"/>
  <c r="AR10" i="28" s="1"/>
  <c r="AS10" i="28" s="1"/>
  <c r="AT10" i="28" s="1"/>
  <c r="AU10" i="28" s="1"/>
  <c r="AV10" i="28" s="1"/>
  <c r="AW10" i="28" s="1"/>
  <c r="AX10" i="28" s="1"/>
  <c r="AY10" i="28" s="1"/>
  <c r="AZ10" i="28" s="1"/>
  <c r="BA10" i="28" s="1"/>
  <c r="BB10" i="28" s="1"/>
  <c r="BC10" i="28" s="1"/>
  <c r="BD10" i="28" s="1"/>
  <c r="BE10" i="28" s="1"/>
  <c r="BF10" i="28" s="1"/>
  <c r="BG10" i="28" s="1"/>
  <c r="BH10" i="28" s="1"/>
  <c r="BI10" i="28" s="1"/>
  <c r="BJ10" i="28" s="1"/>
  <c r="BK10" i="28" s="1"/>
  <c r="BL10" i="28" s="1"/>
  <c r="BM10" i="28" s="1"/>
  <c r="D10" i="28"/>
  <c r="E10" i="28" s="1"/>
  <c r="F10" i="28" s="1"/>
  <c r="G10" i="28" s="1"/>
  <c r="H10" i="28" s="1"/>
  <c r="I10" i="28" s="1"/>
  <c r="J10" i="28" s="1"/>
  <c r="K10" i="28" s="1"/>
  <c r="L10" i="28" s="1"/>
  <c r="M10" i="28" s="1"/>
  <c r="N10" i="28" s="1"/>
  <c r="O10" i="28" s="1"/>
  <c r="P10" i="28" s="1"/>
  <c r="Q10" i="28" s="1"/>
  <c r="R10" i="28" s="1"/>
  <c r="S10" i="28" s="1"/>
  <c r="T10" i="28" s="1"/>
  <c r="U10" i="28" s="1"/>
  <c r="AA5" i="2" l="1"/>
  <c r="Q50" i="2" s="1"/>
  <c r="B16" i="29"/>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15" i="29"/>
  <c r="E12" i="29"/>
  <c r="F12" i="29" s="1"/>
  <c r="G12" i="29" s="1"/>
  <c r="H12" i="29" s="1"/>
  <c r="I12" i="29" s="1"/>
  <c r="J12" i="29" s="1"/>
  <c r="K12" i="29" s="1"/>
  <c r="L12" i="29" s="1"/>
  <c r="M12" i="29" s="1"/>
  <c r="N12" i="29" s="1"/>
  <c r="O12" i="29" s="1"/>
  <c r="P12" i="29" s="1"/>
  <c r="Q12" i="29" s="1"/>
  <c r="R12" i="29" s="1"/>
  <c r="S12" i="29" s="1"/>
  <c r="T12" i="29" s="1"/>
  <c r="U12" i="29" s="1"/>
  <c r="V12" i="29" s="1"/>
  <c r="W12" i="29" s="1"/>
  <c r="X12" i="29" s="1"/>
  <c r="Y12" i="29" s="1"/>
  <c r="Z12" i="29" s="1"/>
  <c r="AA12" i="29" s="1"/>
  <c r="AB12" i="29" s="1"/>
  <c r="AC12" i="29" s="1"/>
  <c r="AD12" i="29" s="1"/>
  <c r="AE12" i="29" s="1"/>
  <c r="AF12" i="29" s="1"/>
  <c r="AG12" i="29" s="1"/>
  <c r="AH12" i="29" s="1"/>
  <c r="AI12" i="29" s="1"/>
  <c r="AJ12" i="29" s="1"/>
  <c r="AK12" i="29" s="1"/>
  <c r="AL12" i="29" s="1"/>
  <c r="AM12" i="29" s="1"/>
  <c r="AN12" i="29" s="1"/>
  <c r="AO12" i="29" s="1"/>
  <c r="AP12" i="29" s="1"/>
  <c r="AQ12" i="29" s="1"/>
  <c r="AR12" i="29" s="1"/>
  <c r="AS12" i="29" s="1"/>
  <c r="AT12" i="29" s="1"/>
  <c r="AU12" i="29" s="1"/>
  <c r="AV12" i="29" s="1"/>
  <c r="AW12" i="29" s="1"/>
  <c r="AX12" i="29" s="1"/>
  <c r="AY12" i="29" s="1"/>
  <c r="AZ12" i="29" s="1"/>
  <c r="BA12" i="29" s="1"/>
  <c r="D12" i="29"/>
  <c r="C19" i="2" l="1"/>
  <c r="M21" i="2"/>
  <c r="C31" i="2"/>
  <c r="G38" i="2"/>
  <c r="C20" i="2"/>
  <c r="I19" i="2"/>
  <c r="O20" i="2"/>
  <c r="G28" i="2"/>
  <c r="P29" i="2"/>
  <c r="I31" i="2"/>
  <c r="C37" i="2"/>
  <c r="M38" i="2"/>
  <c r="H20" i="2"/>
  <c r="Q22" i="2"/>
  <c r="I29" i="2"/>
  <c r="M32" i="2"/>
  <c r="E22" i="2"/>
  <c r="I23" i="2"/>
  <c r="P19" i="2"/>
  <c r="M28" i="2"/>
  <c r="G30" i="2"/>
  <c r="P31" i="2"/>
  <c r="I37" i="2"/>
  <c r="C39" i="2"/>
  <c r="G21" i="2"/>
  <c r="K22" i="2"/>
  <c r="P23" i="2"/>
  <c r="C29" i="2"/>
  <c r="M30" i="2"/>
  <c r="G32" i="2"/>
  <c r="P37" i="2"/>
  <c r="I39" i="2"/>
  <c r="P39" i="2"/>
  <c r="M40" i="2"/>
  <c r="I41" i="2"/>
  <c r="G46" i="2"/>
  <c r="C47" i="2"/>
  <c r="P47" i="2"/>
  <c r="M48" i="2"/>
  <c r="C49" i="2"/>
  <c r="P49" i="2"/>
  <c r="M50" i="2"/>
  <c r="C23" i="2"/>
  <c r="E19" i="2"/>
  <c r="E23" i="2"/>
  <c r="G22" i="2"/>
  <c r="H21" i="2"/>
  <c r="I20" i="2"/>
  <c r="K19" i="2"/>
  <c r="K23" i="2"/>
  <c r="M22" i="2"/>
  <c r="O21" i="2"/>
  <c r="P20" i="2"/>
  <c r="Q19" i="2"/>
  <c r="Q23" i="2"/>
  <c r="H28" i="2"/>
  <c r="O28" i="2"/>
  <c r="E29" i="2"/>
  <c r="K29" i="2"/>
  <c r="Q29" i="2"/>
  <c r="H30" i="2"/>
  <c r="O30" i="2"/>
  <c r="E31" i="2"/>
  <c r="K31" i="2"/>
  <c r="Q31" i="2"/>
  <c r="H32" i="2"/>
  <c r="O32" i="2"/>
  <c r="E37" i="2"/>
  <c r="K37" i="2"/>
  <c r="Q37" i="2"/>
  <c r="H38" i="2"/>
  <c r="O38" i="2"/>
  <c r="E39" i="2"/>
  <c r="K39" i="2"/>
  <c r="Q39" i="2"/>
  <c r="H40" i="2"/>
  <c r="O40" i="2"/>
  <c r="E41" i="2"/>
  <c r="K41" i="2"/>
  <c r="Q41" i="2"/>
  <c r="H46" i="2"/>
  <c r="O46" i="2"/>
  <c r="E47" i="2"/>
  <c r="K47" i="2"/>
  <c r="Q47" i="2"/>
  <c r="H48" i="2"/>
  <c r="O48" i="2"/>
  <c r="E49" i="2"/>
  <c r="K49" i="2"/>
  <c r="Q49" i="2"/>
  <c r="H50" i="2"/>
  <c r="O50" i="2"/>
  <c r="G40" i="2"/>
  <c r="C41" i="2"/>
  <c r="P41" i="2"/>
  <c r="M46" i="2"/>
  <c r="I47" i="2"/>
  <c r="G48" i="2"/>
  <c r="I49" i="2"/>
  <c r="G50" i="2"/>
  <c r="C22" i="2"/>
  <c r="E20" i="2"/>
  <c r="G19" i="2"/>
  <c r="G23" i="2"/>
  <c r="H22" i="2"/>
  <c r="I21" i="2"/>
  <c r="K20" i="2"/>
  <c r="M19" i="2"/>
  <c r="M23" i="2"/>
  <c r="O22" i="2"/>
  <c r="P21" i="2"/>
  <c r="Q20" i="2"/>
  <c r="C28" i="2"/>
  <c r="I28" i="2"/>
  <c r="P28" i="2"/>
  <c r="G29" i="2"/>
  <c r="M29" i="2"/>
  <c r="C30" i="2"/>
  <c r="I30" i="2"/>
  <c r="P30" i="2"/>
  <c r="G31" i="2"/>
  <c r="M31" i="2"/>
  <c r="C32" i="2"/>
  <c r="I32" i="2"/>
  <c r="P32" i="2"/>
  <c r="G37" i="2"/>
  <c r="M37" i="2"/>
  <c r="C38" i="2"/>
  <c r="I38" i="2"/>
  <c r="P38" i="2"/>
  <c r="G39" i="2"/>
  <c r="M39" i="2"/>
  <c r="C40" i="2"/>
  <c r="I40" i="2"/>
  <c r="P40" i="2"/>
  <c r="G41" i="2"/>
  <c r="M41" i="2"/>
  <c r="C46" i="2"/>
  <c r="I46" i="2"/>
  <c r="P46" i="2"/>
  <c r="G47" i="2"/>
  <c r="M47" i="2"/>
  <c r="C48" i="2"/>
  <c r="I48" i="2"/>
  <c r="P48" i="2"/>
  <c r="G49" i="2"/>
  <c r="M49" i="2"/>
  <c r="C50" i="2"/>
  <c r="I50" i="2"/>
  <c r="P50" i="2"/>
  <c r="C21" i="2"/>
  <c r="E21" i="2"/>
  <c r="G20" i="2"/>
  <c r="H19" i="2"/>
  <c r="H23" i="2"/>
  <c r="I22" i="2"/>
  <c r="K21" i="2"/>
  <c r="M20" i="2"/>
  <c r="O19" i="2"/>
  <c r="O23" i="2"/>
  <c r="P22" i="2"/>
  <c r="Q21" i="2"/>
  <c r="E28" i="2"/>
  <c r="K28" i="2"/>
  <c r="Q28" i="2"/>
  <c r="H29" i="2"/>
  <c r="O29" i="2"/>
  <c r="E30" i="2"/>
  <c r="K30" i="2"/>
  <c r="Q30" i="2"/>
  <c r="H31" i="2"/>
  <c r="O31" i="2"/>
  <c r="E32" i="2"/>
  <c r="K32" i="2"/>
  <c r="Q32" i="2"/>
  <c r="H37" i="2"/>
  <c r="O37" i="2"/>
  <c r="E38" i="2"/>
  <c r="K38" i="2"/>
  <c r="Q38" i="2"/>
  <c r="H39" i="2"/>
  <c r="O39" i="2"/>
  <c r="E40" i="2"/>
  <c r="K40" i="2"/>
  <c r="Q40" i="2"/>
  <c r="H41" i="2"/>
  <c r="O41" i="2"/>
  <c r="E46" i="2"/>
  <c r="K46" i="2"/>
  <c r="Q46" i="2"/>
  <c r="H47" i="2"/>
  <c r="O47" i="2"/>
  <c r="E48" i="2"/>
  <c r="K48" i="2"/>
  <c r="Q48" i="2"/>
  <c r="H49" i="2"/>
  <c r="O49" i="2"/>
  <c r="E50" i="2"/>
  <c r="K50" i="2"/>
  <c r="AD8" i="5"/>
  <c r="AD4" i="5"/>
  <c r="M21" i="5" l="1"/>
  <c r="M19" i="5"/>
  <c r="C19" i="5"/>
  <c r="M34" i="5"/>
  <c r="C21" i="5"/>
  <c r="I21" i="5"/>
  <c r="I19" i="5"/>
  <c r="C23" i="5"/>
  <c r="C24" i="5"/>
  <c r="C25" i="5"/>
  <c r="C28" i="5"/>
  <c r="C30" i="5"/>
  <c r="C32" i="5"/>
  <c r="I32" i="5"/>
  <c r="I33" i="5"/>
  <c r="C34" i="5"/>
  <c r="I34" i="5"/>
  <c r="D19" i="5"/>
  <c r="J19" i="5"/>
  <c r="D21" i="5"/>
  <c r="J21" i="5"/>
  <c r="D23" i="5"/>
  <c r="J23" i="5"/>
  <c r="D24" i="5"/>
  <c r="J24" i="5"/>
  <c r="D25" i="5"/>
  <c r="J25" i="5"/>
  <c r="D28" i="5"/>
  <c r="J28" i="5"/>
  <c r="D30" i="5"/>
  <c r="J30" i="5"/>
  <c r="D32" i="5"/>
  <c r="J32" i="5"/>
  <c r="D33" i="5"/>
  <c r="J33" i="5"/>
  <c r="D34" i="5"/>
  <c r="J34" i="5"/>
  <c r="F19" i="5"/>
  <c r="L19" i="5"/>
  <c r="F21" i="5"/>
  <c r="L21" i="5"/>
  <c r="F23" i="5"/>
  <c r="L23" i="5"/>
  <c r="F24" i="5"/>
  <c r="L24" i="5"/>
  <c r="F25" i="5"/>
  <c r="L25" i="5"/>
  <c r="F28" i="5"/>
  <c r="L28" i="5"/>
  <c r="F30" i="5"/>
  <c r="L30" i="5"/>
  <c r="F32" i="5"/>
  <c r="L32" i="5"/>
  <c r="F33" i="5"/>
  <c r="L33" i="5"/>
  <c r="F34" i="5"/>
  <c r="L34" i="5"/>
  <c r="I23" i="5"/>
  <c r="I24" i="5"/>
  <c r="I25" i="5"/>
  <c r="I28" i="5"/>
  <c r="I30" i="5"/>
  <c r="C33" i="5"/>
  <c r="G19" i="5"/>
  <c r="G21" i="5"/>
  <c r="G23" i="5"/>
  <c r="M23" i="5"/>
  <c r="G24" i="5"/>
  <c r="M24" i="5"/>
  <c r="G25" i="5"/>
  <c r="M25" i="5"/>
  <c r="G28" i="5"/>
  <c r="M28" i="5"/>
  <c r="G30" i="5"/>
  <c r="M30" i="5"/>
  <c r="G32" i="5"/>
  <c r="M32" i="5"/>
  <c r="G33" i="5"/>
  <c r="M33" i="5"/>
  <c r="G34" i="5"/>
  <c r="AA5" i="4" l="1"/>
  <c r="U50" i="4" l="1"/>
  <c r="P50" i="4"/>
  <c r="K50" i="4"/>
  <c r="F50" i="4"/>
  <c r="U49" i="4"/>
  <c r="P49" i="4"/>
  <c r="K49" i="4"/>
  <c r="F49" i="4"/>
  <c r="U48" i="4"/>
  <c r="P48" i="4"/>
  <c r="K48" i="4"/>
  <c r="F48" i="4"/>
  <c r="U46" i="4"/>
  <c r="P46" i="4"/>
  <c r="K46" i="4"/>
  <c r="F46" i="4"/>
  <c r="U44" i="4"/>
  <c r="P44" i="4"/>
  <c r="K44" i="4"/>
  <c r="F44" i="4"/>
  <c r="U42" i="4"/>
  <c r="P42" i="4"/>
  <c r="K42" i="4"/>
  <c r="F42" i="4"/>
  <c r="U38" i="4"/>
  <c r="P38" i="4"/>
  <c r="K38" i="4"/>
  <c r="F38" i="4"/>
  <c r="U37" i="4"/>
  <c r="P37" i="4"/>
  <c r="K37" i="4"/>
  <c r="F37" i="4"/>
  <c r="U36" i="4"/>
  <c r="P36" i="4"/>
  <c r="K36" i="4"/>
  <c r="F36" i="4"/>
  <c r="U34" i="4"/>
  <c r="P34" i="4"/>
  <c r="K34" i="4"/>
  <c r="F34" i="4"/>
  <c r="U32" i="4"/>
  <c r="P32" i="4"/>
  <c r="K32" i="4"/>
  <c r="F32" i="4"/>
  <c r="U30" i="4"/>
  <c r="P30" i="4"/>
  <c r="K30" i="4"/>
  <c r="F30" i="4"/>
  <c r="U26" i="4"/>
  <c r="P26" i="4"/>
  <c r="K26" i="4"/>
  <c r="F26" i="4"/>
  <c r="U25" i="4"/>
  <c r="P25" i="4"/>
  <c r="K25" i="4"/>
  <c r="F25" i="4"/>
  <c r="U24" i="4"/>
  <c r="P24" i="4"/>
  <c r="K24" i="4"/>
  <c r="F24" i="4"/>
  <c r="U22" i="4"/>
  <c r="P22" i="4"/>
  <c r="K22" i="4"/>
  <c r="F22" i="4"/>
  <c r="U20" i="4"/>
  <c r="P20" i="4"/>
  <c r="K20" i="4"/>
  <c r="F20" i="4"/>
  <c r="M49" i="4"/>
  <c r="R46" i="4"/>
  <c r="R44" i="4"/>
  <c r="R42" i="4"/>
  <c r="C42" i="4"/>
  <c r="H38" i="4"/>
  <c r="H37" i="4"/>
  <c r="M36" i="4"/>
  <c r="R34" i="4"/>
  <c r="C34" i="4"/>
  <c r="T50" i="4"/>
  <c r="O50" i="4"/>
  <c r="J50" i="4"/>
  <c r="E50" i="4"/>
  <c r="T49" i="4"/>
  <c r="O49" i="4"/>
  <c r="J49" i="4"/>
  <c r="E49" i="4"/>
  <c r="T48" i="4"/>
  <c r="O48" i="4"/>
  <c r="J48" i="4"/>
  <c r="E48" i="4"/>
  <c r="T46" i="4"/>
  <c r="O46" i="4"/>
  <c r="J46" i="4"/>
  <c r="E46" i="4"/>
  <c r="T44" i="4"/>
  <c r="O44" i="4"/>
  <c r="J44" i="4"/>
  <c r="E44" i="4"/>
  <c r="T42" i="4"/>
  <c r="O42" i="4"/>
  <c r="J42" i="4"/>
  <c r="E42" i="4"/>
  <c r="T38" i="4"/>
  <c r="O38" i="4"/>
  <c r="J38" i="4"/>
  <c r="E38" i="4"/>
  <c r="T37" i="4"/>
  <c r="O37" i="4"/>
  <c r="J37" i="4"/>
  <c r="E37" i="4"/>
  <c r="T36" i="4"/>
  <c r="O36" i="4"/>
  <c r="J36" i="4"/>
  <c r="E36" i="4"/>
  <c r="T34" i="4"/>
  <c r="O34" i="4"/>
  <c r="J34" i="4"/>
  <c r="E34" i="4"/>
  <c r="T32" i="4"/>
  <c r="O32" i="4"/>
  <c r="J32" i="4"/>
  <c r="E32" i="4"/>
  <c r="T30" i="4"/>
  <c r="O30" i="4"/>
  <c r="J30" i="4"/>
  <c r="E30" i="4"/>
  <c r="T26" i="4"/>
  <c r="O26" i="4"/>
  <c r="J26" i="4"/>
  <c r="E26" i="4"/>
  <c r="T25" i="4"/>
  <c r="O25" i="4"/>
  <c r="J25" i="4"/>
  <c r="E25" i="4"/>
  <c r="T24" i="4"/>
  <c r="O24" i="4"/>
  <c r="J24" i="4"/>
  <c r="E24" i="4"/>
  <c r="T22" i="4"/>
  <c r="O22" i="4"/>
  <c r="J22" i="4"/>
  <c r="E22" i="4"/>
  <c r="T20" i="4"/>
  <c r="O20" i="4"/>
  <c r="J20" i="4"/>
  <c r="E20" i="4"/>
  <c r="M50" i="4"/>
  <c r="C50" i="4"/>
  <c r="C49" i="4"/>
  <c r="M48" i="4"/>
  <c r="M46" i="4"/>
  <c r="C46" i="4"/>
  <c r="H44" i="4"/>
  <c r="H42" i="4"/>
  <c r="M38" i="4"/>
  <c r="R37" i="4"/>
  <c r="C37" i="4"/>
  <c r="C36" i="4"/>
  <c r="H34" i="4"/>
  <c r="S50" i="4"/>
  <c r="N50" i="4"/>
  <c r="I50" i="4"/>
  <c r="D50" i="4"/>
  <c r="S49" i="4"/>
  <c r="N49" i="4"/>
  <c r="I49" i="4"/>
  <c r="D49" i="4"/>
  <c r="S48" i="4"/>
  <c r="N48" i="4"/>
  <c r="I48" i="4"/>
  <c r="D48" i="4"/>
  <c r="S46" i="4"/>
  <c r="N46" i="4"/>
  <c r="I46" i="4"/>
  <c r="D46" i="4"/>
  <c r="S44" i="4"/>
  <c r="N44" i="4"/>
  <c r="I44" i="4"/>
  <c r="D44" i="4"/>
  <c r="S42" i="4"/>
  <c r="N42" i="4"/>
  <c r="I42" i="4"/>
  <c r="D42" i="4"/>
  <c r="S38" i="4"/>
  <c r="N38" i="4"/>
  <c r="I38" i="4"/>
  <c r="D38" i="4"/>
  <c r="S37" i="4"/>
  <c r="N37" i="4"/>
  <c r="I37" i="4"/>
  <c r="D37" i="4"/>
  <c r="S36" i="4"/>
  <c r="N36" i="4"/>
  <c r="I36" i="4"/>
  <c r="D36" i="4"/>
  <c r="S34" i="4"/>
  <c r="N34" i="4"/>
  <c r="I34" i="4"/>
  <c r="D34" i="4"/>
  <c r="S32" i="4"/>
  <c r="N32" i="4"/>
  <c r="I32" i="4"/>
  <c r="D32" i="4"/>
  <c r="S30" i="4"/>
  <c r="N30" i="4"/>
  <c r="I30" i="4"/>
  <c r="D30" i="4"/>
  <c r="S26" i="4"/>
  <c r="N26" i="4"/>
  <c r="I26" i="4"/>
  <c r="D26" i="4"/>
  <c r="S25" i="4"/>
  <c r="N25" i="4"/>
  <c r="I25" i="4"/>
  <c r="D25" i="4"/>
  <c r="S24" i="4"/>
  <c r="N24" i="4"/>
  <c r="I24" i="4"/>
  <c r="D24" i="4"/>
  <c r="S22" i="4"/>
  <c r="N22" i="4"/>
  <c r="I22" i="4"/>
  <c r="D22" i="4"/>
  <c r="S20" i="4"/>
  <c r="N20" i="4"/>
  <c r="I20" i="4"/>
  <c r="D20" i="4"/>
  <c r="R50" i="4"/>
  <c r="H50" i="4"/>
  <c r="R49" i="4"/>
  <c r="H49" i="4"/>
  <c r="R48" i="4"/>
  <c r="H48" i="4"/>
  <c r="C48" i="4"/>
  <c r="H46" i="4"/>
  <c r="M44" i="4"/>
  <c r="C44" i="4"/>
  <c r="M42" i="4"/>
  <c r="R38" i="4"/>
  <c r="C38" i="4"/>
  <c r="M37" i="4"/>
  <c r="R36" i="4"/>
  <c r="H36" i="4"/>
  <c r="M34" i="4"/>
  <c r="R32" i="4"/>
  <c r="R30" i="4"/>
  <c r="R26" i="4"/>
  <c r="R25" i="4"/>
  <c r="R24" i="4"/>
  <c r="R22" i="4"/>
  <c r="R20" i="4"/>
  <c r="C30" i="4"/>
  <c r="C24" i="4"/>
  <c r="M32" i="4"/>
  <c r="M30" i="4"/>
  <c r="M26" i="4"/>
  <c r="M25" i="4"/>
  <c r="M24" i="4"/>
  <c r="M22" i="4"/>
  <c r="M20" i="4"/>
  <c r="C26" i="4"/>
  <c r="C22" i="4"/>
  <c r="H32" i="4"/>
  <c r="H30" i="4"/>
  <c r="H26" i="4"/>
  <c r="H25" i="4"/>
  <c r="H24" i="4"/>
  <c r="H22" i="4"/>
  <c r="H20" i="4"/>
  <c r="C32" i="4"/>
  <c r="C25" i="4"/>
  <c r="C20" i="4"/>
  <c r="U18" i="4"/>
  <c r="P18" i="4"/>
  <c r="K18" i="4"/>
  <c r="D18" i="4"/>
  <c r="M18" i="4"/>
  <c r="T18" i="4"/>
  <c r="O18" i="4"/>
  <c r="J18" i="4"/>
  <c r="E18" i="4"/>
  <c r="H18" i="4"/>
  <c r="S18" i="4"/>
  <c r="N18" i="4"/>
  <c r="I18" i="4"/>
  <c r="F18" i="4"/>
  <c r="R18" i="4"/>
  <c r="C18" i="4"/>
  <c r="B7" i="22" l="1"/>
  <c r="C7" i="22" s="1"/>
  <c r="D7" i="22" s="1"/>
  <c r="E7" i="22" s="1"/>
  <c r="F7" i="22" s="1"/>
  <c r="G7" i="22" s="1"/>
  <c r="H7" i="22" s="1"/>
  <c r="I7" i="22" s="1"/>
  <c r="J7" i="22" s="1"/>
  <c r="K7" i="22" s="1"/>
  <c r="L7" i="22" s="1"/>
  <c r="M7" i="22" s="1"/>
  <c r="N7" i="22" s="1"/>
  <c r="O7" i="22" s="1"/>
  <c r="P7" i="22" s="1"/>
  <c r="Q7" i="22" s="1"/>
  <c r="R7" i="22" s="1"/>
  <c r="S7" i="22" s="1"/>
  <c r="T7" i="22" s="1"/>
  <c r="U7" i="22" s="1"/>
  <c r="V7" i="22" s="1"/>
  <c r="W7" i="22" s="1"/>
  <c r="X7" i="22" s="1"/>
  <c r="Y7" i="22" s="1"/>
  <c r="Z7" i="22" s="1"/>
  <c r="AA7" i="22" s="1"/>
  <c r="AB7" i="22" s="1"/>
  <c r="AC7" i="22" s="1"/>
  <c r="AD7" i="22" s="1"/>
  <c r="AE7" i="22" s="1"/>
  <c r="AF7" i="22" s="1"/>
  <c r="AG7" i="22" s="1"/>
  <c r="AH7" i="22" s="1"/>
  <c r="AI7" i="22" s="1"/>
</calcChain>
</file>

<file path=xl/sharedStrings.xml><?xml version="1.0" encoding="utf-8"?>
<sst xmlns="http://schemas.openxmlformats.org/spreadsheetml/2006/main" count="2359" uniqueCount="193">
  <si>
    <t>Outcomes for looked after children</t>
  </si>
  <si>
    <t>Website:</t>
  </si>
  <si>
    <t>Statistics: looked after children</t>
  </si>
  <si>
    <t>SFR Name:</t>
  </si>
  <si>
    <t>SFR 12/2017</t>
  </si>
  <si>
    <t>Contact details</t>
  </si>
  <si>
    <t>Name:</t>
  </si>
  <si>
    <t>Bree Waine</t>
  </si>
  <si>
    <t>Telephone:</t>
  </si>
  <si>
    <t>01325 340824</t>
  </si>
  <si>
    <t>Email:</t>
  </si>
  <si>
    <t>National Tables</t>
  </si>
  <si>
    <t>Back to index</t>
  </si>
  <si>
    <t>GENDER</t>
  </si>
  <si>
    <t>Year: 2016</t>
  </si>
  <si>
    <t>DENOMINATOR/NUMERATOR</t>
  </si>
  <si>
    <t>SEN STATUS</t>
  </si>
  <si>
    <t>Gender:</t>
  </si>
  <si>
    <t>Female</t>
  </si>
  <si>
    <t>Male</t>
  </si>
  <si>
    <t>Total</t>
  </si>
  <si>
    <t>Number eligible</t>
  </si>
  <si>
    <t>Reaching the expected standard (%)</t>
  </si>
  <si>
    <t>No identified SEN</t>
  </si>
  <si>
    <t>Key stage 2 tests and assessments</t>
  </si>
  <si>
    <t>Non-looked after children</t>
  </si>
  <si>
    <t>Source: CLA-NPD matched data</t>
  </si>
  <si>
    <t>See methodology and quality document for more information on rounding conventions.</t>
  </si>
  <si>
    <r>
      <t>Coverage: England, All schools</t>
    </r>
    <r>
      <rPr>
        <b/>
        <vertAlign val="superscript"/>
        <sz val="10"/>
        <rFont val="Arial"/>
        <family val="2"/>
      </rPr>
      <t>2</t>
    </r>
  </si>
  <si>
    <r>
      <t>Total</t>
    </r>
    <r>
      <rPr>
        <vertAlign val="superscript"/>
        <sz val="8"/>
        <rFont val="Arial"/>
        <family val="2"/>
      </rPr>
      <t>6</t>
    </r>
  </si>
  <si>
    <r>
      <t>All SEN</t>
    </r>
    <r>
      <rPr>
        <vertAlign val="superscript"/>
        <sz val="8"/>
        <rFont val="Arial"/>
        <family val="2"/>
      </rPr>
      <t>7</t>
    </r>
  </si>
  <si>
    <r>
      <t xml:space="preserve">   SEN with statements or Education, Health and Care plans</t>
    </r>
    <r>
      <rPr>
        <vertAlign val="superscript"/>
        <sz val="8"/>
        <rFont val="Arial"/>
        <family val="2"/>
      </rPr>
      <t>7</t>
    </r>
  </si>
  <si>
    <r>
      <t xml:space="preserve">   SEN Support</t>
    </r>
    <r>
      <rPr>
        <vertAlign val="superscript"/>
        <sz val="8"/>
        <rFont val="Arial"/>
        <family val="2"/>
      </rPr>
      <t>7</t>
    </r>
  </si>
  <si>
    <r>
      <t>Looked after children</t>
    </r>
    <r>
      <rPr>
        <b/>
        <vertAlign val="superscript"/>
        <sz val="10"/>
        <rFont val="Arial"/>
        <family val="2"/>
      </rPr>
      <t>1</t>
    </r>
  </si>
  <si>
    <r>
      <t>Mathematics (test)</t>
    </r>
    <r>
      <rPr>
        <vertAlign val="superscript"/>
        <sz val="8"/>
        <rFont val="Arial"/>
        <family val="2"/>
      </rPr>
      <t>3</t>
    </r>
  </si>
  <si>
    <r>
      <t>Reading (test)</t>
    </r>
    <r>
      <rPr>
        <vertAlign val="superscript"/>
        <sz val="8"/>
        <rFont val="Arial"/>
        <family val="2"/>
      </rPr>
      <t>3</t>
    </r>
  </si>
  <si>
    <r>
      <t>Writing (teacher assessment)</t>
    </r>
    <r>
      <rPr>
        <vertAlign val="superscript"/>
        <sz val="8"/>
        <rFont val="Arial"/>
        <family val="2"/>
      </rPr>
      <t>4</t>
    </r>
  </si>
  <si>
    <r>
      <t>Grammar, punctuation and spelling (test)</t>
    </r>
    <r>
      <rPr>
        <vertAlign val="superscript"/>
        <sz val="8"/>
        <rFont val="Arial"/>
        <family val="2"/>
      </rPr>
      <t>3</t>
    </r>
  </si>
  <si>
    <r>
      <t>Reading, writing and mathematics</t>
    </r>
    <r>
      <rPr>
        <vertAlign val="superscript"/>
        <sz val="8"/>
        <rFont val="Arial"/>
        <family val="2"/>
      </rPr>
      <t>5</t>
    </r>
  </si>
  <si>
    <r>
      <t>Children in need</t>
    </r>
    <r>
      <rPr>
        <b/>
        <vertAlign val="superscript"/>
        <sz val="10"/>
        <rFont val="Arial"/>
        <family val="2"/>
      </rPr>
      <t>8</t>
    </r>
  </si>
  <si>
    <t>Looked after children</t>
  </si>
  <si>
    <t>Number of pupils included</t>
  </si>
  <si>
    <t>Average Progress score</t>
  </si>
  <si>
    <t>Lower confidence interval</t>
  </si>
  <si>
    <t>Upper confidence interval</t>
  </si>
  <si>
    <t>No SEN</t>
  </si>
  <si>
    <t>SEN with statements or Education, Health and Care plans</t>
  </si>
  <si>
    <r>
      <t>Coverage: England, state-funded schools and non-maintained special schools</t>
    </r>
    <r>
      <rPr>
        <b/>
        <vertAlign val="superscript"/>
        <sz val="10"/>
        <rFont val="Arial"/>
        <family val="2"/>
      </rPr>
      <t>2</t>
    </r>
  </si>
  <si>
    <r>
      <t>Reading Progress Score</t>
    </r>
    <r>
      <rPr>
        <b/>
        <u/>
        <vertAlign val="superscript"/>
        <sz val="8"/>
        <rFont val="Arial"/>
        <family val="2"/>
      </rPr>
      <t>4</t>
    </r>
  </si>
  <si>
    <r>
      <t>Total (state-funded schools and non-maintained special schools)</t>
    </r>
    <r>
      <rPr>
        <b/>
        <vertAlign val="superscript"/>
        <sz val="8"/>
        <rFont val="Arial"/>
        <family val="2"/>
      </rPr>
      <t>2</t>
    </r>
  </si>
  <si>
    <r>
      <t>Writing Progress Score</t>
    </r>
    <r>
      <rPr>
        <b/>
        <u/>
        <vertAlign val="superscript"/>
        <sz val="8"/>
        <rFont val="Arial"/>
        <family val="2"/>
      </rPr>
      <t>4</t>
    </r>
  </si>
  <si>
    <r>
      <t>Mathematics Progress Score</t>
    </r>
    <r>
      <rPr>
        <b/>
        <u/>
        <vertAlign val="superscript"/>
        <sz val="8"/>
        <rFont val="Arial"/>
        <family val="2"/>
      </rPr>
      <t>4</t>
    </r>
  </si>
  <si>
    <t>x</t>
  </si>
  <si>
    <t>FEMALE</t>
  </si>
  <si>
    <t>MALE</t>
  </si>
  <si>
    <t>TOTAL</t>
  </si>
  <si>
    <t>..</t>
  </si>
  <si>
    <t>Table 2a Rounded Values</t>
  </si>
  <si>
    <t>Table 2b Rounded Values</t>
  </si>
  <si>
    <r>
      <t>Statefunded mainstream schools</t>
    </r>
    <r>
      <rPr>
        <b/>
        <vertAlign val="superscript"/>
        <sz val="8"/>
        <rFont val="Arial"/>
        <family val="2"/>
      </rPr>
      <t>3</t>
    </r>
  </si>
  <si>
    <r>
      <t>All SEN</t>
    </r>
    <r>
      <rPr>
        <vertAlign val="superscript"/>
        <sz val="8"/>
        <rFont val="Arial"/>
        <family val="2"/>
      </rPr>
      <t>5</t>
    </r>
  </si>
  <si>
    <r>
      <t>SEN Support</t>
    </r>
    <r>
      <rPr>
        <vertAlign val="superscript"/>
        <sz val="8"/>
        <rFont val="Arial"/>
        <family val="2"/>
      </rPr>
      <t>5</t>
    </r>
  </si>
  <si>
    <t>Source: CLA-NPD matched data and CIN-NPD matched data</t>
  </si>
  <si>
    <t>Number at the end of Key Stage 4</t>
  </si>
  <si>
    <r>
      <t>Coverage: England, state-funded schools, non-maintained special schools and alternative provision</t>
    </r>
    <r>
      <rPr>
        <b/>
        <vertAlign val="superscript"/>
        <sz val="10"/>
        <rFont val="Arial"/>
        <family val="2"/>
      </rPr>
      <t>2</t>
    </r>
  </si>
  <si>
    <r>
      <t>Average Progress 8 score</t>
    </r>
    <r>
      <rPr>
        <vertAlign val="superscript"/>
        <sz val="8"/>
        <rFont val="Arial"/>
        <family val="2"/>
      </rPr>
      <t>4,5</t>
    </r>
  </si>
  <si>
    <r>
      <t>SEN with statements or Education, Health and Care plans</t>
    </r>
    <r>
      <rPr>
        <vertAlign val="superscript"/>
        <sz val="8"/>
        <rFont val="Arial"/>
        <family val="2"/>
      </rPr>
      <t>6</t>
    </r>
  </si>
  <si>
    <r>
      <t>SEN Support</t>
    </r>
    <r>
      <rPr>
        <vertAlign val="superscript"/>
        <sz val="8"/>
        <rFont val="Arial"/>
        <family val="2"/>
      </rPr>
      <t>6</t>
    </r>
  </si>
  <si>
    <r>
      <t>State funded mainstream schools</t>
    </r>
    <r>
      <rPr>
        <b/>
        <vertAlign val="superscript"/>
        <sz val="8"/>
        <rFont val="Arial"/>
        <family val="2"/>
      </rPr>
      <t>3</t>
    </r>
  </si>
  <si>
    <t>ALL CHILDREN</t>
  </si>
  <si>
    <t>Achieving A*-C in both English and Mathematics GCSEs</t>
  </si>
  <si>
    <t>All children</t>
  </si>
  <si>
    <t>Children in Need (excl LAC)</t>
  </si>
  <si>
    <t>Denominator</t>
  </si>
  <si>
    <t>Total (includes all children regardless of school type)</t>
  </si>
  <si>
    <t>All SEN</t>
  </si>
  <si>
    <t xml:space="preserve">   with statement</t>
  </si>
  <si>
    <t xml:space="preserve">      without statement</t>
  </si>
  <si>
    <t>Percentages</t>
  </si>
  <si>
    <t>Numerator</t>
  </si>
  <si>
    <t>Entering the English Baccalaureate</t>
  </si>
  <si>
    <t>Achieving the English Baccalaureate</t>
  </si>
  <si>
    <t>Measure:</t>
  </si>
  <si>
    <t>Percentage achieving 5+ GCSEs A*-C or equivalent including English and mathematics</t>
  </si>
  <si>
    <t>cla.stats@education.gov.uk</t>
  </si>
  <si>
    <r>
      <t>Children in Need</t>
    </r>
    <r>
      <rPr>
        <b/>
        <vertAlign val="superscript"/>
        <sz val="8"/>
        <rFont val="Arial"/>
        <family val="2"/>
      </rPr>
      <t>8</t>
    </r>
  </si>
  <si>
    <r>
      <t>Total</t>
    </r>
    <r>
      <rPr>
        <b/>
        <vertAlign val="superscript"/>
        <sz val="8"/>
        <rFont val="Arial"/>
        <family val="2"/>
      </rPr>
      <t>6</t>
    </r>
    <r>
      <rPr>
        <b/>
        <sz val="8"/>
        <rFont val="Arial"/>
        <family val="2"/>
      </rPr>
      <t xml:space="preserve"> (state-funded schools, non-maintained special schools and alternative provision)</t>
    </r>
    <r>
      <rPr>
        <b/>
        <vertAlign val="superscript"/>
        <sz val="8"/>
        <rFont val="Arial"/>
        <family val="2"/>
      </rPr>
      <t>2</t>
    </r>
  </si>
  <si>
    <r>
      <t>SEN with statements or Education, Health and Care plans</t>
    </r>
    <r>
      <rPr>
        <vertAlign val="superscript"/>
        <sz val="8"/>
        <rFont val="Arial"/>
        <family val="2"/>
      </rPr>
      <t>7</t>
    </r>
  </si>
  <si>
    <r>
      <t>SEN without statements or plans</t>
    </r>
    <r>
      <rPr>
        <vertAlign val="superscript"/>
        <sz val="8"/>
        <rFont val="Arial"/>
        <family val="2"/>
      </rPr>
      <t>7</t>
    </r>
  </si>
  <si>
    <t>Table 3a Rounded Values</t>
  </si>
  <si>
    <t>Table 3c Rounded Values</t>
  </si>
  <si>
    <r>
      <t>Year: 2016</t>
    </r>
    <r>
      <rPr>
        <b/>
        <vertAlign val="superscript"/>
        <sz val="10"/>
        <rFont val="Arial"/>
        <family val="2"/>
      </rPr>
      <t>9</t>
    </r>
  </si>
  <si>
    <r>
      <t>Coverage: England, All schools</t>
    </r>
    <r>
      <rPr>
        <b/>
        <vertAlign val="superscript"/>
        <sz val="10"/>
        <rFont val="Arial"/>
        <family val="2"/>
      </rPr>
      <t>3</t>
    </r>
  </si>
  <si>
    <r>
      <t>Reading Progress Score</t>
    </r>
    <r>
      <rPr>
        <b/>
        <u/>
        <vertAlign val="superscript"/>
        <sz val="8"/>
        <rFont val="Arial"/>
        <family val="2"/>
      </rPr>
      <t>4,5</t>
    </r>
  </si>
  <si>
    <r>
      <t>Writing Progress Score</t>
    </r>
    <r>
      <rPr>
        <b/>
        <u/>
        <vertAlign val="superscript"/>
        <sz val="8"/>
        <rFont val="Arial"/>
        <family val="2"/>
      </rPr>
      <t>4,5</t>
    </r>
  </si>
  <si>
    <r>
      <t>Mathematics Progress Score</t>
    </r>
    <r>
      <rPr>
        <b/>
        <u/>
        <vertAlign val="superscript"/>
        <sz val="8"/>
        <rFont val="Arial"/>
        <family val="2"/>
      </rPr>
      <t>4,5</t>
    </r>
  </si>
  <si>
    <r>
      <t>Total</t>
    </r>
    <r>
      <rPr>
        <b/>
        <vertAlign val="superscript"/>
        <sz val="8"/>
        <rFont val="Arial"/>
        <family val="2"/>
      </rPr>
      <t>7</t>
    </r>
    <r>
      <rPr>
        <b/>
        <sz val="8"/>
        <rFont val="Arial"/>
        <family val="2"/>
      </rPr>
      <t xml:space="preserve"> (state-funded schools and non-maintained special schools)</t>
    </r>
    <r>
      <rPr>
        <b/>
        <vertAlign val="superscript"/>
        <sz val="8"/>
        <rFont val="Arial"/>
        <family val="2"/>
      </rPr>
      <t>2</t>
    </r>
  </si>
  <si>
    <r>
      <t>Year: 2016</t>
    </r>
    <r>
      <rPr>
        <b/>
        <vertAlign val="superscript"/>
        <sz val="10"/>
        <rFont val="Arial"/>
        <family val="2"/>
      </rPr>
      <t>8</t>
    </r>
  </si>
  <si>
    <r>
      <t>2015</t>
    </r>
    <r>
      <rPr>
        <vertAlign val="superscript"/>
        <sz val="8"/>
        <rFont val="Arial"/>
        <family val="2"/>
      </rPr>
      <t>5</t>
    </r>
  </si>
  <si>
    <r>
      <t>2016</t>
    </r>
    <r>
      <rPr>
        <vertAlign val="superscript"/>
        <sz val="8"/>
        <rFont val="Arial"/>
        <family val="2"/>
      </rPr>
      <t>6</t>
    </r>
  </si>
  <si>
    <r>
      <t>Total</t>
    </r>
    <r>
      <rPr>
        <vertAlign val="superscript"/>
        <sz val="8"/>
        <rFont val="Arial"/>
        <family val="2"/>
      </rPr>
      <t>7</t>
    </r>
  </si>
  <si>
    <r>
      <t>SEN with statements or Education, Health and Care plans</t>
    </r>
    <r>
      <rPr>
        <vertAlign val="superscript"/>
        <sz val="8"/>
        <rFont val="Arial"/>
        <family val="2"/>
      </rPr>
      <t>8</t>
    </r>
  </si>
  <si>
    <r>
      <t>SEN Support</t>
    </r>
    <r>
      <rPr>
        <vertAlign val="superscript"/>
        <sz val="8"/>
        <rFont val="Arial"/>
        <family val="2"/>
      </rPr>
      <t>8</t>
    </r>
  </si>
  <si>
    <r>
      <t>Average Attainment 8 score per pupil</t>
    </r>
    <r>
      <rPr>
        <vertAlign val="superscript"/>
        <sz val="8"/>
        <rFont val="Arial"/>
        <family val="2"/>
      </rPr>
      <t>3</t>
    </r>
  </si>
  <si>
    <t>Table A1</t>
  </si>
  <si>
    <t>Table A2</t>
  </si>
  <si>
    <t>Table B1</t>
  </si>
  <si>
    <t>Table B2</t>
  </si>
  <si>
    <t>Table B3</t>
  </si>
  <si>
    <t>Table B4</t>
  </si>
  <si>
    <r>
      <t>Table A2: Key stage 2 average progress scores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</si>
  <si>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t>Adopted children</t>
  </si>
  <si>
    <t>Special guardianship orders</t>
  </si>
  <si>
    <t>Child arrangement orders</t>
  </si>
  <si>
    <t>State funded mainstream schools3</t>
  </si>
  <si>
    <t>Total7 (state-funded schools and non-maintained special schools)2</t>
  </si>
  <si>
    <t>SEN with statements or Education, Health and Care plans6</t>
  </si>
  <si>
    <t>SEN Support6</t>
  </si>
  <si>
    <t>Writing Progress Score4,5</t>
  </si>
  <si>
    <t>Mathematics Progress Score4,5</t>
  </si>
  <si>
    <r>
      <t xml:space="preserve">Source: </t>
    </r>
    <r>
      <rPr>
        <i/>
        <sz val="8"/>
        <color rgb="FFFF0000"/>
        <rFont val="Arial"/>
        <family val="2"/>
      </rPr>
      <t>School Census</t>
    </r>
    <r>
      <rPr>
        <i/>
        <sz val="8"/>
        <rFont val="Arial"/>
        <family val="2"/>
      </rPr>
      <t>-NPD matched data</t>
    </r>
  </si>
  <si>
    <t>Source: School Census-NPD matched data</t>
  </si>
  <si>
    <t>Reading Progress Score4,5</t>
  </si>
  <si>
    <r>
      <t>Table A1: Key stage 2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</si>
  <si>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t xml:space="preserve">EXPERIMENTAL STATISTICS: This is the second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 see footnote 1 for more details.
</t>
  </si>
  <si>
    <r>
      <t>Table B1: Key stage 4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</si>
  <si>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r>
      <t>Years: 2015 - 2016</t>
    </r>
    <r>
      <rPr>
        <b/>
        <vertAlign val="superscript"/>
        <sz val="10"/>
        <rFont val="Arial"/>
        <family val="2"/>
      </rPr>
      <t>2</t>
    </r>
  </si>
  <si>
    <t>Total7</t>
  </si>
  <si>
    <t>SEN with statements or Education, Health and Care plans8</t>
  </si>
  <si>
    <t>SEN Support8</t>
  </si>
  <si>
    <r>
      <t>Table B4: Key stage 4 eligibility and performance of former looked after children who have been adopted, or were the subject of a special guardianship order or a child arrangements order</t>
    </r>
    <r>
      <rPr>
        <b/>
        <vertAlign val="superscript"/>
        <sz val="10"/>
        <rFont val="Arial"/>
        <family val="2"/>
      </rPr>
      <t>1</t>
    </r>
    <r>
      <rPr>
        <b/>
        <sz val="10"/>
        <rFont val="Arial"/>
        <family val="2"/>
      </rPr>
      <t>, percentage achieving 5+ GCSEs A*-C or equivalent including English and mathematics</t>
    </r>
  </si>
  <si>
    <r>
      <t>Table B2: Key stage 4 average Attainment 8 scores</t>
    </r>
    <r>
      <rPr>
        <b/>
        <vertAlign val="superscript"/>
        <sz val="10"/>
        <rFont val="Arial"/>
        <family val="2"/>
      </rPr>
      <t>3</t>
    </r>
    <r>
      <rPr>
        <b/>
        <sz val="10"/>
        <rFont val="Arial"/>
        <family val="2"/>
      </rPr>
      <t xml:space="preserv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</si>
  <si>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t>Total4</t>
  </si>
  <si>
    <t>SEN with statements or Education, Health and Care plans5</t>
  </si>
  <si>
    <t>SEN Support5</t>
  </si>
  <si>
    <r>
      <t>Table B3: Key stage 4 average Progress 8 scores</t>
    </r>
    <r>
      <rPr>
        <b/>
        <vertAlign val="superscript"/>
        <sz val="10"/>
        <rFont val="Arial"/>
        <family val="2"/>
      </rPr>
      <t>4,5</t>
    </r>
    <r>
      <rPr>
        <b/>
        <sz val="10"/>
        <rFont val="Arial"/>
        <family val="2"/>
      </rPr>
      <t xml:space="preserve"> of former looked after children who have been adopted, or were the subject of a special guardianship order or a child arrangements order</t>
    </r>
    <r>
      <rPr>
        <b/>
        <vertAlign val="superscript"/>
        <sz val="10"/>
        <rFont val="Arial"/>
        <family val="2"/>
      </rPr>
      <t>1</t>
    </r>
    <r>
      <rPr>
        <b/>
        <sz val="10"/>
        <rFont val="Arial"/>
        <family val="2"/>
      </rPr>
      <t>, by SEN and gender</t>
    </r>
  </si>
  <si>
    <t>Total6 (state-funded schools, non-maintained special schools and alternative provision)2</t>
  </si>
  <si>
    <t>SEN with statements or Education, Health and Care plans7</t>
  </si>
  <si>
    <t>SEN Support7</t>
  </si>
  <si>
    <t>column</t>
  </si>
  <si>
    <t>row</t>
  </si>
  <si>
    <t>SEN</t>
  </si>
  <si>
    <t>2. Figures include those independent schools who chose to take part in key stage 2 assessments.</t>
  </si>
  <si>
    <t>3. Excludes pupils with missing or lost test results and pupils where results are suppressed pending the outcome of a maladministration investigation. The expected standard is a scaled score of 100 or above.</t>
  </si>
  <si>
    <t>4. Excludes pupils with a missing teacher assessment. The expected standard includes those working at the expected standard (EXS) and those working at greater depth within the expected standard (GDS).</t>
  </si>
  <si>
    <t>5.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 The expected standard includes those pupils who reached the expected standard in all of reading, writing and mathematics.</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</si>
  <si>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</si>
  <si>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7. The 2016 key stage 2 assessments are the first which assess the new, more challenging national curriculum, which was introduced in 2014. See link below for changes to national curriculum assessments at key stage 2:</t>
  </si>
  <si>
    <t xml:space="preserve">     https://www.gov.uk/government/publications/interim-frameworks-for-teacher-assessment-at-the-end-of-key-stage-2</t>
  </si>
  <si>
    <t>Symbols:</t>
  </si>
  <si>
    <t>x  (cross) suppressed due to small numbers</t>
  </si>
  <si>
    <t>.   (dot) not applicable</t>
  </si>
  <si>
    <t>.. (double dot) not available</t>
  </si>
  <si>
    <t>2. State-funded schools include state-funded mainstream schools and state-funded special schools. State-funded schools and non-maintained special schools are the schools included in the progress measure calculations. For more information on coverage see the methodology and quality document.</t>
  </si>
  <si>
    <t>3. State-funded mainstream schools include academies, free schools and city technology colleges. These are the schools included in the progress measure model. For more information on coverage see the methodology and quality document.</t>
  </si>
  <si>
    <t>4.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on the new progress measures, including the confidence intervals, please see the technical guide, here:</t>
  </si>
  <si>
    <t xml:space="preserve">     https://www.gov.uk/government/publications/primary-school-accountability</t>
  </si>
  <si>
    <t>5. Progress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</si>
  <si>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</si>
  <si>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t>Numbers have been rounded to the nearest 10. Progress score averages and confidence intervals have been rounded to one decimal place.</t>
  </si>
  <si>
    <t>2. Figures for 2016 are based on amended attainment data. Figures for all other years are based on final data. Includes entries and achievements for pupils in previous academic years.</t>
  </si>
  <si>
    <t xml:space="preserve">3. Includes pupils in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 </t>
  </si>
  <si>
    <t>Numbers have been rounded to the nearest 10. Percentages have been rounded to one decimal place.</t>
  </si>
  <si>
    <t>Numbers have been rounded to the nearest 10. Percentages have been rounded to the nearest whole number.</t>
  </si>
  <si>
    <r>
      <t>Year: 2016</t>
    </r>
    <r>
      <rPr>
        <b/>
        <vertAlign val="superscript"/>
        <sz val="10"/>
        <rFont val="Arial"/>
        <family val="2"/>
      </rPr>
      <t>7</t>
    </r>
  </si>
  <si>
    <r>
      <t xml:space="preserve">   SEN with statements or Education, Health and Care plans</t>
    </r>
    <r>
      <rPr>
        <vertAlign val="superscript"/>
        <sz val="8"/>
        <rFont val="Arial"/>
        <family val="2"/>
      </rPr>
      <t>6</t>
    </r>
  </si>
  <si>
    <r>
      <t xml:space="preserve">   SEN Support</t>
    </r>
    <r>
      <rPr>
        <vertAlign val="superscript"/>
        <sz val="8"/>
        <rFont val="Arial"/>
        <family val="2"/>
      </rPr>
      <t>6</t>
    </r>
  </si>
  <si>
    <t>2. All schools includes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</si>
  <si>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3. Attainment 8 is part of the new secondary accountability system being implemented for all schools from 2016. More information on the calculation of this measure is available in the Progress 8 guidance:</t>
  </si>
  <si>
    <t>https://www.gov.uk/government/publications/progress-8-school-performance-measure</t>
  </si>
  <si>
    <t>4.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</si>
  <si>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SEN with statements or Education, Health and Care plans</t>
    </r>
    <r>
      <rPr>
        <vertAlign val="superscript"/>
        <sz val="8"/>
        <rFont val="Arial"/>
        <family val="2"/>
      </rPr>
      <t>4</t>
    </r>
  </si>
  <si>
    <r>
      <t>SEN Support</t>
    </r>
    <r>
      <rPr>
        <vertAlign val="superscript"/>
        <sz val="8"/>
        <rFont val="Arial"/>
        <family val="2"/>
      </rPr>
      <t>4</t>
    </r>
  </si>
  <si>
    <t>2. State-funded schools include state-funded mainstream schools and state-funded special schools. State-funded schools, non-maintained special schools and alternative provision are the schools included in the Progress 8 calculations. Alternative provision includes pupil referral units, AP free schools and AP academies as well as state-funded AP placements in other institutions. For more information on coverage see the methodology and quality document.</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</si>
  <si>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These are the schools included in the Progress 8 model. For more information on coverage see the methodology and quality document.</t>
  </si>
  <si>
    <t>4. Progress 8 is part of the new secondary accountability system being implemented from 2016. More information on the calculation of this measures is available in the Progress 8 guidance:</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</si>
  <si>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</si>
  <si>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The special educational needs and disability (SEND) provisions in the Children and Families Act 2014 were introduced on 1 September 2014.  From then, any children or young people who are newly referred to a local authority for assessment are considered under the new Education Health and Care (EHC) plan assessment process. The legal test of when a child or young person requires an EHC plan remains the same as that for a statement under the Education Act 1996. In addition, the previous 'school action' and 'school action plus' categories were replaced by a new category 'SEN support'.</t>
  </si>
  <si>
    <r>
      <t>Total</t>
    </r>
    <r>
      <rPr>
        <b/>
        <sz val="8"/>
        <rFont val="Arial"/>
        <family val="2"/>
      </rPr>
      <t xml:space="preserve"> (state-funded schools, non-maintained special schools and alternative provision)</t>
    </r>
    <r>
      <rPr>
        <b/>
        <vertAlign val="superscript"/>
        <sz val="8"/>
        <rFont val="Arial"/>
        <family val="2"/>
      </rPr>
      <t>2</t>
    </r>
  </si>
  <si>
    <t>Key stage 2 eligibility and performance of former looked after children who have been adopted, or were the subject of a special guardianship order or a child arrangements order, by SEN and gender, 2016</t>
  </si>
  <si>
    <t>Key stage 2 average progress scores of former looked after children who have been adopted, or were the subject of a special guardianship order or a child arrangements order, by SEN and gender, 2016</t>
  </si>
  <si>
    <t>Key stage 4 eligibility and performance of former looked after children who have been adopted, or were the subject of a special guardianship order or a child arrangements order, by SEN and gender, 2015 to 2016</t>
  </si>
  <si>
    <t>Key stage 4 average Attainment 8 scores of former looked after children who have been adopted, or were the subject of a special guardianship order or a child arrangements order, by SEN and gender, 2016</t>
  </si>
  <si>
    <t>Key stage 4 average Progress 8 scores of former looked after children who have been adopted, or were the subject of a special guardianship order or a child arrangements order, by SEN and gender, 2016</t>
  </si>
  <si>
    <t>Key stage 4 eligibility and performance of former looked after children who have been adopted, or were the subject of a special guardianship order or a child arrangements order, percentage achieving 5+ GCSEs A*-C or equivalent including English and mathematics, 2015 to 2016</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</si>
  <si>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75% of children adopted from care. For children leaving care with a SGO or CAO, the coverage is approximately 66% and 42% respectively. The overall coverage is approximately 68%. Only children who have been matched to key stage 2 data are included.</t>
  </si>
  <si>
    <t>1. Children who are identified as having ceased to be looked after (excluding those children in respite care) through adoption, a special guardianship order or a child arrangements order.  This requires declaration by the parents of the child. We estimate the data covers approximately 36% of children adopted from care. For children leaving care with a SGO or CAO, the coverage is approximately 38% and 23% respectively. The overall coverage of approximately 35%. Only children who have been matched to key stage 4 data are included.</t>
  </si>
  <si>
    <r>
      <t>2015</t>
    </r>
    <r>
      <rPr>
        <vertAlign val="superscript"/>
        <sz val="8"/>
        <rFont val="Arial"/>
        <family val="2"/>
      </rPr>
      <t>4</t>
    </r>
  </si>
  <si>
    <t>4. Since September 2013, general further education colleges and sixth-form colleges have been able to directly enrol 14- to 16-year-olds. 2014/15 was the first year in which these colleges have pupils at the end of key stage 4 and included in the data. The early entry policy to only count a pupil's first attempt at a qualification was extended to all subjects, having been introduced in 2013/14 for subjects in the English Baccalaureate only.</t>
  </si>
  <si>
    <t xml:space="preserve">EXPERIMENTAL STATISTICS: This is the second release of attainment for former looked after children who were adopted, or were the subject of a special guardianship order (SGO) or child arrangements order (CAO). Attainment information is not available for all children who have been adopted from care or left care due to an SGO or CAO, and therefore the figures have been classed as experimental statistics.
</t>
  </si>
  <si>
    <t>Child arrangements orders</t>
  </si>
  <si>
    <t>5.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English Baccalaureate exams in both must be taken and a C grade or above achieved in either English language or English literature. For the A*-C in English and maths attainment measure, a C in either English language or English literature counts and there is no requirement to take both. The figures for 2016 are not comparable to the figures for 2015 because of the changes introduced in 2016.</t>
  </si>
  <si>
    <r>
      <t>2016</t>
    </r>
    <r>
      <rPr>
        <vertAlign val="superscript"/>
        <sz val="8"/>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</si>
</sst>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68" x14ac:knownFonts="1">
    <font>
      <sz val="11"/>
      <color theme="1"/>
      <name val="Calibri"/>
      <family val="2"/>
      <scheme val="minor"/>
    </font>
    <font>
      <b/>
      <sz val="24"/>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8"/>
      <color theme="1"/>
      <name val="Calibri"/>
      <family val="2"/>
      <scheme val="minor"/>
    </font>
    <font>
      <b/>
      <sz val="11"/>
      <color theme="1"/>
      <name val="Arial"/>
      <family val="2"/>
    </font>
    <font>
      <sz val="11"/>
      <color theme="1"/>
      <name val="Arial"/>
      <family val="2"/>
    </font>
    <font>
      <u/>
      <sz val="11"/>
      <color theme="10"/>
      <name val="Arial"/>
      <family val="2"/>
    </font>
    <font>
      <sz val="11"/>
      <color rgb="FFFF0000"/>
      <name val="Arial"/>
      <family val="2"/>
    </font>
    <font>
      <sz val="10"/>
      <name val="Arial"/>
      <family val="2"/>
    </font>
    <font>
      <sz val="11"/>
      <color theme="1"/>
      <name val="Calibri"/>
      <family val="2"/>
      <scheme val="minor"/>
    </font>
    <font>
      <sz val="9"/>
      <color theme="1"/>
      <name val="Arial"/>
      <family val="2"/>
    </font>
    <font>
      <sz val="10"/>
      <color rgb="FF000000"/>
      <name val="Arial"/>
      <family val="2"/>
    </font>
    <font>
      <u/>
      <sz val="10"/>
      <color rgb="FF0000FF"/>
      <name val="Arial"/>
      <family val="2"/>
    </font>
    <font>
      <sz val="11"/>
      <color rgb="FF000000"/>
      <name val="Calibri"/>
      <family val="2"/>
    </font>
    <font>
      <u/>
      <sz val="10"/>
      <color indexed="12"/>
      <name val="Arial"/>
      <family val="2"/>
    </font>
    <font>
      <b/>
      <sz val="11"/>
      <color rgb="FFFF0000"/>
      <name val="Arial"/>
      <family val="2"/>
    </font>
    <font>
      <u/>
      <sz val="11"/>
      <name val="Calibri"/>
      <family val="2"/>
      <scheme val="minor"/>
    </font>
    <font>
      <b/>
      <sz val="10"/>
      <name val="Arial"/>
      <family val="2"/>
    </font>
    <font>
      <sz val="11"/>
      <color rgb="FF0000FF"/>
      <name val="Calibri"/>
      <family val="2"/>
      <scheme val="minor"/>
    </font>
    <font>
      <sz val="8"/>
      <name val="Arial"/>
      <family val="2"/>
    </font>
    <font>
      <b/>
      <sz val="8"/>
      <name val="Arial"/>
      <family val="2"/>
    </font>
    <font>
      <i/>
      <sz val="8"/>
      <name val="Arial"/>
      <family val="2"/>
    </font>
    <font>
      <b/>
      <sz val="8"/>
      <color rgb="FFFF0000"/>
      <name val="Arial"/>
      <family val="2"/>
    </font>
    <font>
      <i/>
      <sz val="10"/>
      <name val="Calibri"/>
      <family val="2"/>
      <scheme val="minor"/>
    </font>
    <font>
      <b/>
      <vertAlign val="superscript"/>
      <sz val="10"/>
      <name val="Arial"/>
      <family val="2"/>
    </font>
    <font>
      <vertAlign val="superscript"/>
      <sz val="8"/>
      <name val="Arial"/>
      <family val="2"/>
    </font>
    <font>
      <b/>
      <sz val="8"/>
      <color rgb="FF0000FF"/>
      <name val="Arial"/>
      <family val="2"/>
    </font>
    <font>
      <b/>
      <u/>
      <sz val="8"/>
      <name val="Arial"/>
      <family val="2"/>
    </font>
    <font>
      <b/>
      <u/>
      <vertAlign val="superscript"/>
      <sz val="8"/>
      <name val="Arial"/>
      <family val="2"/>
    </font>
    <font>
      <b/>
      <vertAlign val="superscript"/>
      <sz val="8"/>
      <name val="Arial"/>
      <family val="2"/>
    </font>
    <font>
      <sz val="8"/>
      <color rgb="FFFF0000"/>
      <name val="Arial"/>
      <family val="2"/>
    </font>
    <font>
      <b/>
      <sz val="11"/>
      <color rgb="FFFF0000"/>
      <name val="Calibri"/>
      <family val="2"/>
      <scheme val="minor"/>
    </font>
    <font>
      <b/>
      <sz val="11"/>
      <name val="Calibri"/>
      <family val="2"/>
      <scheme val="minor"/>
    </font>
    <font>
      <i/>
      <sz val="11"/>
      <name val="Calibri"/>
      <family val="2"/>
      <scheme val="minor"/>
    </font>
    <font>
      <i/>
      <sz val="11"/>
      <color theme="1"/>
      <name val="Calibri"/>
      <family val="2"/>
      <scheme val="minor"/>
    </font>
    <font>
      <i/>
      <sz val="8"/>
      <color theme="1"/>
      <name val="Arial"/>
      <family val="2"/>
    </font>
    <font>
      <sz val="8"/>
      <color theme="1"/>
      <name val="Arial"/>
      <family val="2"/>
    </font>
    <font>
      <b/>
      <sz val="18"/>
      <color rgb="FFFF0000"/>
      <name val="Calibri"/>
      <family val="2"/>
      <scheme val="minor"/>
    </font>
    <font>
      <b/>
      <sz val="10"/>
      <color rgb="FFFF0000"/>
      <name val="Calibri"/>
      <family val="2"/>
      <scheme val="minor"/>
    </font>
    <font>
      <sz val="8"/>
      <color rgb="FF0000FF"/>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u/>
      <sz val="11"/>
      <color rgb="FF0000FF"/>
      <name val="Calibri"/>
      <family val="2"/>
      <scheme val="minor"/>
    </font>
    <font>
      <i/>
      <sz val="8"/>
      <color rgb="FFFF0000"/>
      <name val="Arial"/>
      <family val="2"/>
    </font>
    <font>
      <sz val="10"/>
      <color rgb="FF0000FF"/>
      <name val="Arial"/>
      <family val="2"/>
    </font>
    <font>
      <b/>
      <sz val="10"/>
      <color rgb="FFFF0000"/>
      <name val="Arial"/>
      <family val="2"/>
    </font>
    <font>
      <sz val="10"/>
      <color rgb="FF0000FF"/>
      <name val="Calibri"/>
      <family val="2"/>
      <scheme val="minor"/>
    </font>
    <font>
      <sz val="10"/>
      <name val="Calibri"/>
      <family val="2"/>
      <scheme val="minor"/>
    </font>
    <font>
      <u/>
      <sz val="8"/>
      <color rgb="FF0000FF"/>
      <name val="Arial"/>
      <family val="2"/>
    </font>
    <font>
      <sz val="11"/>
      <name val="Arial"/>
      <family val="2"/>
    </font>
  </fonts>
  <fills count="2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
      <left/>
      <right style="hair">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top/>
      <bottom style="dotted">
        <color auto="1"/>
      </bottom>
      <diagonal/>
    </border>
  </borders>
  <cellStyleXfs count="5283">
    <xf numFmtId="0" fontId="0" fillId="0" borderId="0"/>
    <xf numFmtId="0" fontId="3" fillId="0" borderId="0" applyNumberFormat="0" applyFill="0" applyBorder="0" applyAlignment="0" applyProtection="0"/>
    <xf numFmtId="0" fontId="10" fillId="0" borderId="0"/>
    <xf numFmtId="0" fontId="10" fillId="0" borderId="0"/>
    <xf numFmtId="0" fontId="10" fillId="0" borderId="0"/>
    <xf numFmtId="43" fontId="11" fillId="0" borderId="0" applyFont="0" applyFill="0" applyBorder="0" applyAlignment="0" applyProtection="0"/>
    <xf numFmtId="0" fontId="10" fillId="0" borderId="0"/>
    <xf numFmtId="0" fontId="13" fillId="0" borderId="0" applyNumberFormat="0" applyBorder="0" applyProtection="0"/>
    <xf numFmtId="0" fontId="11" fillId="0" borderId="0"/>
    <xf numFmtId="0" fontId="14" fillId="0" borderId="0" applyNumberFormat="0" applyFill="0" applyBorder="0" applyAlignment="0" applyProtection="0"/>
    <xf numFmtId="0" fontId="15" fillId="0" borderId="0" applyNumberFormat="0" applyBorder="0" applyProtection="0"/>
    <xf numFmtId="0" fontId="16" fillId="0" borderId="0" applyNumberFormat="0" applyFill="0" applyBorder="0" applyAlignment="0" applyProtection="0">
      <alignment vertical="top"/>
      <protection locked="0"/>
    </xf>
    <xf numFmtId="43" fontId="10" fillId="0" borderId="0" applyFont="0" applyFill="0" applyBorder="0" applyAlignment="0" applyProtection="0"/>
    <xf numFmtId="0" fontId="15" fillId="0" borderId="0"/>
    <xf numFmtId="43" fontId="10" fillId="0" borderId="0" applyFont="0" applyFill="0" applyBorder="0" applyAlignment="0" applyProtection="0"/>
    <xf numFmtId="0" fontId="10" fillId="0" borderId="0"/>
    <xf numFmtId="0" fontId="12" fillId="0" borderId="0"/>
    <xf numFmtId="0" fontId="10" fillId="0" borderId="0"/>
    <xf numFmtId="0" fontId="11" fillId="0" borderId="0"/>
    <xf numFmtId="0" fontId="10" fillId="0" borderId="0"/>
    <xf numFmtId="0" fontId="42" fillId="0" borderId="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45" fillId="6" borderId="0" applyNumberFormat="0" applyBorder="0" applyAlignment="0" applyProtection="0"/>
    <xf numFmtId="0" fontId="46" fillId="23" borderId="18" applyNumberFormat="0" applyAlignment="0" applyProtection="0"/>
    <xf numFmtId="0" fontId="47" fillId="24" borderId="19" applyNumberFormat="0" applyAlignment="0" applyProtection="0"/>
    <xf numFmtId="0" fontId="48" fillId="0" borderId="0" applyNumberFormat="0" applyFill="0" applyBorder="0" applyAlignment="0" applyProtection="0"/>
    <xf numFmtId="0" fontId="49" fillId="7" borderId="0" applyNumberFormat="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0" borderId="18" applyNumberFormat="0" applyAlignment="0" applyProtection="0"/>
    <xf numFmtId="0" fontId="54" fillId="0" borderId="23" applyNumberFormat="0" applyFill="0" applyAlignment="0" applyProtection="0"/>
    <xf numFmtId="0" fontId="55" fillId="25" borderId="0" applyNumberFormat="0" applyBorder="0" applyAlignment="0" applyProtection="0"/>
    <xf numFmtId="0" fontId="10" fillId="26" borderId="24" applyNumberFormat="0" applyFont="0" applyAlignment="0" applyProtection="0"/>
    <xf numFmtId="0" fontId="56" fillId="23" borderId="25" applyNumberFormat="0" applyAlignment="0" applyProtection="0"/>
    <xf numFmtId="0" fontId="57" fillId="0" borderId="0" applyNumberFormat="0" applyFill="0" applyBorder="0" applyAlignment="0" applyProtection="0"/>
    <xf numFmtId="0" fontId="58" fillId="0" borderId="26" applyNumberFormat="0" applyFill="0" applyAlignment="0" applyProtection="0"/>
    <xf numFmtId="0" fontId="59" fillId="0" borderId="0" applyNumberFormat="0" applyFill="0" applyBorder="0" applyAlignment="0" applyProtection="0"/>
    <xf numFmtId="0" fontId="7" fillId="0" borderId="0"/>
    <xf numFmtId="0" fontId="7" fillId="0" borderId="0"/>
    <xf numFmtId="43" fontId="10" fillId="0" borderId="0" applyFont="0" applyFill="0" applyBorder="0" applyAlignment="0" applyProtection="0"/>
    <xf numFmtId="0" fontId="7" fillId="0" borderId="0"/>
    <xf numFmtId="0" fontId="7" fillId="0" borderId="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3" fillId="0" borderId="0" applyNumberFormat="0" applyFont="0" applyBorder="0" applyProtection="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9" fontId="10" fillId="0" borderId="0" applyFont="0" applyFill="0" applyBorder="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11" fillId="0" borderId="0"/>
    <xf numFmtId="0" fontId="10" fillId="26" borderId="24" applyNumberFormat="0" applyFont="0" applyAlignment="0" applyProtection="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10" fillId="0" borderId="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1" fillId="0" borderId="0"/>
    <xf numFmtId="9" fontId="11" fillId="0" borderId="0" applyFont="0" applyFill="0" applyBorder="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11" fillId="0" borderId="0"/>
    <xf numFmtId="0" fontId="10" fillId="26" borderId="24" applyNumberFormat="0" applyFont="0" applyAlignment="0" applyProtection="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11" fillId="0" borderId="0"/>
    <xf numFmtId="0" fontId="10" fillId="26" borderId="24" applyNumberFormat="0" applyFont="0" applyAlignment="0" applyProtection="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11" fillId="0" borderId="0"/>
    <xf numFmtId="0" fontId="10" fillId="26" borderId="24" applyNumberFormat="0" applyFont="0" applyAlignment="0" applyProtection="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11" fillId="0" borderId="0"/>
    <xf numFmtId="0" fontId="10" fillId="26" borderId="24" applyNumberFormat="0" applyFont="0" applyAlignment="0" applyProtection="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1" fillId="0" borderId="0"/>
    <xf numFmtId="0" fontId="53" fillId="10" borderId="18" applyNumberFormat="0" applyAlignment="0" applyProtection="0"/>
    <xf numFmtId="0" fontId="11" fillId="0" borderId="0"/>
    <xf numFmtId="9" fontId="11" fillId="0" borderId="0" applyFont="0" applyFill="0" applyBorder="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10" fillId="26" borderId="24" applyNumberFormat="0" applyFont="0" applyAlignment="0" applyProtection="0"/>
    <xf numFmtId="0" fontId="58" fillId="0" borderId="26" applyNumberFormat="0" applyFill="0" applyAlignment="0" applyProtection="0"/>
    <xf numFmtId="0" fontId="53" fillId="10" borderId="18" applyNumberFormat="0" applyAlignment="0" applyProtection="0"/>
    <xf numFmtId="0" fontId="53" fillId="10"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53" fillId="10" borderId="18" applyNumberFormat="0" applyAlignment="0" applyProtection="0"/>
    <xf numFmtId="0" fontId="46" fillId="23" borderId="18" applyNumberFormat="0" applyAlignment="0" applyProtection="0"/>
    <xf numFmtId="0" fontId="56" fillId="23" borderId="25" applyNumberFormat="0" applyAlignment="0" applyProtection="0"/>
    <xf numFmtId="0" fontId="46" fillId="23"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53" fillId="10"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0" fontId="56" fillId="23" borderId="25" applyNumberFormat="0" applyAlignment="0" applyProtection="0"/>
    <xf numFmtId="0" fontId="46" fillId="23" borderId="18" applyNumberFormat="0" applyAlignment="0" applyProtection="0"/>
    <xf numFmtId="0" fontId="56" fillId="23" borderId="25" applyNumberFormat="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46" fillId="23"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3" fillId="10"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10" fillId="26" borderId="24" applyNumberFormat="0" applyFont="0" applyAlignment="0" applyProtection="0"/>
    <xf numFmtId="0" fontId="58" fillId="0" borderId="26" applyNumberFormat="0" applyFill="0" applyAlignment="0" applyProtection="0"/>
    <xf numFmtId="0" fontId="58" fillId="0" borderId="26" applyNumberFormat="0" applyFill="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6" fillId="23" borderId="25" applyNumberFormat="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11" fillId="0" borderId="0"/>
    <xf numFmtId="0" fontId="56" fillId="23" borderId="25" applyNumberFormat="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46" fillId="23" borderId="18"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58" fillId="0" borderId="26" applyNumberFormat="0" applyFill="0" applyAlignment="0" applyProtection="0"/>
    <xf numFmtId="0" fontId="11" fillId="0" borderId="0"/>
    <xf numFmtId="0" fontId="11" fillId="0" borderId="0"/>
    <xf numFmtId="9" fontId="11" fillId="0" borderId="0" applyFont="0" applyFill="0" applyBorder="0" applyAlignment="0" applyProtection="0"/>
    <xf numFmtId="0" fontId="46" fillId="23" borderId="18" applyNumberFormat="0" applyAlignment="0" applyProtection="0"/>
    <xf numFmtId="0" fontId="53" fillId="10" borderId="18"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46" fillId="23" borderId="18" applyNumberFormat="0" applyAlignment="0" applyProtection="0"/>
    <xf numFmtId="0" fontId="56" fillId="23" borderId="25"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6" fillId="23" borderId="25" applyNumberFormat="0" applyAlignment="0" applyProtection="0"/>
    <xf numFmtId="0" fontId="10" fillId="26" borderId="24" applyNumberFormat="0" applyFont="0" applyAlignment="0" applyProtection="0"/>
    <xf numFmtId="0" fontId="53" fillId="10" borderId="18" applyNumberFormat="0" applyAlignment="0" applyProtection="0"/>
    <xf numFmtId="0" fontId="10" fillId="26" borderId="24" applyNumberFormat="0" applyFont="0" applyAlignment="0" applyProtection="0"/>
    <xf numFmtId="0" fontId="56" fillId="23" borderId="25" applyNumberFormat="0" applyAlignment="0" applyProtection="0"/>
    <xf numFmtId="0" fontId="58" fillId="0" borderId="26" applyNumberFormat="0" applyFill="0" applyAlignment="0" applyProtection="0"/>
    <xf numFmtId="0" fontId="53" fillId="10" borderId="18" applyNumberFormat="0" applyAlignment="0" applyProtection="0"/>
    <xf numFmtId="0" fontId="46" fillId="23" borderId="18" applyNumberFormat="0" applyAlignment="0" applyProtection="0"/>
    <xf numFmtId="0" fontId="46" fillId="23" borderId="18" applyNumberFormat="0" applyAlignment="0" applyProtection="0"/>
    <xf numFmtId="0" fontId="10" fillId="26" borderId="24" applyNumberFormat="0" applyFont="0" applyAlignment="0" applyProtection="0"/>
    <xf numFmtId="0" fontId="11" fillId="0" borderId="0"/>
    <xf numFmtId="0" fontId="11" fillId="0" borderId="0"/>
    <xf numFmtId="9" fontId="11" fillId="0" borderId="0" applyFont="0" applyFill="0" applyBorder="0" applyAlignment="0" applyProtection="0"/>
    <xf numFmtId="0" fontId="10" fillId="26" borderId="24" applyNumberFormat="0" applyFont="0" applyAlignment="0" applyProtection="0"/>
    <xf numFmtId="0" fontId="46" fillId="23" borderId="18" applyNumberFormat="0" applyAlignment="0" applyProtection="0"/>
    <xf numFmtId="0" fontId="46" fillId="23" borderId="18" applyNumberFormat="0" applyAlignment="0" applyProtection="0"/>
    <xf numFmtId="0" fontId="53" fillId="10" borderId="18" applyNumberFormat="0" applyAlignment="0" applyProtection="0"/>
    <xf numFmtId="0" fontId="56" fillId="23" borderId="25" applyNumberFormat="0" applyAlignment="0" applyProtection="0"/>
    <xf numFmtId="0" fontId="53" fillId="10" borderId="18" applyNumberFormat="0" applyAlignment="0" applyProtection="0"/>
    <xf numFmtId="0" fontId="58" fillId="0" borderId="26" applyNumberFormat="0" applyFill="0" applyAlignment="0" applyProtection="0"/>
    <xf numFmtId="0" fontId="56" fillId="23" borderId="25" applyNumberFormat="0" applyAlignment="0" applyProtection="0"/>
    <xf numFmtId="9" fontId="10" fillId="0" borderId="0" applyFont="0" applyFill="0" applyBorder="0" applyAlignment="0" applyProtection="0"/>
    <xf numFmtId="0" fontId="11" fillId="0" borderId="0"/>
    <xf numFmtId="44" fontId="10" fillId="0" borderId="0" applyFont="0" applyFill="0" applyBorder="0" applyAlignment="0" applyProtection="0"/>
    <xf numFmtId="44" fontId="10" fillId="0" borderId="0" applyFont="0" applyFill="0" applyBorder="0" applyAlignment="0" applyProtection="0"/>
  </cellStyleXfs>
  <cellXfs count="375">
    <xf numFmtId="0" fontId="0" fillId="0" borderId="0" xfId="0"/>
    <xf numFmtId="0" fontId="0" fillId="0" borderId="0" xfId="0" applyFont="1"/>
    <xf numFmtId="0" fontId="0" fillId="2" borderId="0" xfId="0" applyFill="1"/>
    <xf numFmtId="0" fontId="1" fillId="2" borderId="0" xfId="0" applyFont="1" applyFill="1"/>
    <xf numFmtId="0" fontId="2" fillId="2" borderId="0" xfId="0" applyFont="1" applyFill="1"/>
    <xf numFmtId="0" fontId="0" fillId="2" borderId="0" xfId="0" applyFont="1" applyFill="1"/>
    <xf numFmtId="0" fontId="3" fillId="2" borderId="0" xfId="1" applyFill="1"/>
    <xf numFmtId="0" fontId="4" fillId="2" borderId="0" xfId="0" applyFont="1" applyFill="1"/>
    <xf numFmtId="0" fontId="5" fillId="2" borderId="0" xfId="0" applyFont="1" applyFill="1"/>
    <xf numFmtId="0" fontId="3" fillId="0" borderId="0" xfId="1"/>
    <xf numFmtId="0" fontId="6" fillId="0" borderId="0" xfId="0" applyFont="1"/>
    <xf numFmtId="0" fontId="7" fillId="0" borderId="0" xfId="0" applyFont="1"/>
    <xf numFmtId="0" fontId="8" fillId="0" borderId="0" xfId="1" applyFont="1" applyAlignment="1">
      <alignment vertical="top"/>
    </xf>
    <xf numFmtId="0" fontId="9" fillId="0" borderId="0" xfId="0" applyFont="1" applyAlignment="1">
      <alignment vertical="top"/>
    </xf>
    <xf numFmtId="0" fontId="0" fillId="0" borderId="0" xfId="0"/>
    <xf numFmtId="0" fontId="17" fillId="0" borderId="0" xfId="0" applyFont="1"/>
    <xf numFmtId="0" fontId="4" fillId="0" borderId="0" xfId="0" applyFont="1"/>
    <xf numFmtId="0" fontId="18" fillId="0" borderId="0" xfId="1" applyFont="1"/>
    <xf numFmtId="0" fontId="19" fillId="0" borderId="0" xfId="0" applyFont="1" applyAlignment="1"/>
    <xf numFmtId="0" fontId="4" fillId="0" borderId="0" xfId="0" applyFont="1" applyAlignment="1">
      <alignment horizontal="left" wrapText="1"/>
    </xf>
    <xf numFmtId="0" fontId="20" fillId="0" borderId="0" xfId="0" applyFont="1"/>
    <xf numFmtId="0" fontId="19" fillId="2" borderId="0" xfId="0" applyFont="1" applyFill="1" applyAlignment="1">
      <alignment horizontal="left" vertical="center"/>
    </xf>
    <xf numFmtId="0" fontId="20" fillId="0" borderId="0" xfId="0" applyFont="1" applyAlignment="1">
      <alignment horizontal="left"/>
    </xf>
    <xf numFmtId="0" fontId="4" fillId="0" borderId="0" xfId="0" applyFont="1" applyAlignment="1">
      <alignment horizontal="left"/>
    </xf>
    <xf numFmtId="0" fontId="4" fillId="3" borderId="1" xfId="0" applyFont="1" applyFill="1" applyBorder="1"/>
    <xf numFmtId="0" fontId="4" fillId="0" borderId="3" xfId="0" applyFont="1" applyBorder="1"/>
    <xf numFmtId="0" fontId="21" fillId="0" borderId="5" xfId="0" applyFont="1" applyBorder="1"/>
    <xf numFmtId="0" fontId="21" fillId="0" borderId="4" xfId="0" applyFont="1" applyBorder="1" applyAlignment="1">
      <alignment horizontal="center" vertical="center" wrapText="1"/>
    </xf>
    <xf numFmtId="0" fontId="21" fillId="0" borderId="4" xfId="0" applyFont="1" applyBorder="1"/>
    <xf numFmtId="0" fontId="21" fillId="0" borderId="4" xfId="0" applyFont="1" applyBorder="1" applyAlignment="1">
      <alignment horizontal="center" vertical="center"/>
    </xf>
    <xf numFmtId="0" fontId="4" fillId="0" borderId="5" xfId="0" applyFont="1" applyBorder="1"/>
    <xf numFmtId="0" fontId="21" fillId="0" borderId="0" xfId="0" applyFont="1"/>
    <xf numFmtId="0" fontId="19" fillId="0" borderId="0" xfId="0" applyFont="1" applyAlignment="1">
      <alignment horizontal="left"/>
    </xf>
    <xf numFmtId="0" fontId="21" fillId="0" borderId="0" xfId="0" applyFont="1" applyAlignment="1"/>
    <xf numFmtId="1" fontId="21" fillId="0" borderId="0" xfId="0" applyNumberFormat="1" applyFont="1" applyAlignment="1">
      <alignment horizontal="right"/>
    </xf>
    <xf numFmtId="1" fontId="21" fillId="0" borderId="0" xfId="0" applyNumberFormat="1" applyFont="1"/>
    <xf numFmtId="0" fontId="21" fillId="0" borderId="0" xfId="0" applyFont="1" applyAlignment="1">
      <alignment horizontal="left" wrapText="1"/>
    </xf>
    <xf numFmtId="0" fontId="22" fillId="0" borderId="0" xfId="0" applyFont="1" applyBorder="1" applyAlignment="1">
      <alignment horizontal="left"/>
    </xf>
    <xf numFmtId="0" fontId="21" fillId="0" borderId="0" xfId="0" applyFont="1" applyAlignment="1">
      <alignment horizontal="left" indent="1"/>
    </xf>
    <xf numFmtId="3" fontId="21" fillId="0" borderId="0" xfId="0" applyNumberFormat="1" applyFont="1" applyFill="1" applyAlignment="1">
      <alignment horizontal="right"/>
    </xf>
    <xf numFmtId="0" fontId="21" fillId="0" borderId="0" xfId="0" applyFont="1" applyFill="1" applyBorder="1" applyAlignment="1">
      <alignment horizontal="left"/>
    </xf>
    <xf numFmtId="0" fontId="21" fillId="0" borderId="0" xfId="0" applyFont="1" applyAlignment="1">
      <alignment horizontal="left"/>
    </xf>
    <xf numFmtId="1" fontId="21" fillId="0" borderId="0" xfId="0" applyNumberFormat="1" applyFont="1" applyFill="1"/>
    <xf numFmtId="0" fontId="4" fillId="0" borderId="0" xfId="0" applyFont="1" applyFill="1"/>
    <xf numFmtId="0" fontId="22" fillId="0" borderId="0" xfId="0" applyFont="1" applyAlignment="1">
      <alignment horizontal="left"/>
    </xf>
    <xf numFmtId="1" fontId="21" fillId="0" borderId="0" xfId="0" applyNumberFormat="1" applyFont="1" applyFill="1" applyAlignment="1">
      <alignment horizontal="right"/>
    </xf>
    <xf numFmtId="3" fontId="21" fillId="0" borderId="0" xfId="0" applyNumberFormat="1" applyFont="1" applyAlignment="1">
      <alignment horizontal="right"/>
    </xf>
    <xf numFmtId="0" fontId="21" fillId="0" borderId="0" xfId="0" applyFont="1" applyAlignment="1">
      <alignment wrapText="1"/>
    </xf>
    <xf numFmtId="3" fontId="21" fillId="0" borderId="0" xfId="0" applyNumberFormat="1" applyFont="1" applyFill="1" applyAlignment="1">
      <alignment horizontal="center"/>
    </xf>
    <xf numFmtId="0" fontId="23" fillId="0" borderId="0" xfId="0" applyFont="1" applyBorder="1" applyAlignment="1">
      <alignment horizontal="right"/>
    </xf>
    <xf numFmtId="0" fontId="21" fillId="0" borderId="0" xfId="0" applyFont="1" applyFill="1" applyAlignment="1"/>
    <xf numFmtId="0" fontId="21" fillId="0" borderId="0" xfId="0" applyFont="1" applyFill="1"/>
    <xf numFmtId="0" fontId="22" fillId="0" borderId="0" xfId="0" applyFont="1" applyAlignment="1">
      <alignment wrapText="1"/>
    </xf>
    <xf numFmtId="0" fontId="21" fillId="0" borderId="0" xfId="0" applyFont="1" applyAlignment="1">
      <alignment vertical="center"/>
    </xf>
    <xf numFmtId="0" fontId="21" fillId="0" borderId="0" xfId="0" applyFont="1" applyBorder="1"/>
    <xf numFmtId="0" fontId="21" fillId="0" borderId="0" xfId="0" applyFont="1" applyBorder="1" applyAlignment="1">
      <alignment vertical="center"/>
    </xf>
    <xf numFmtId="0" fontId="28" fillId="0" borderId="0" xfId="0" applyFont="1" applyBorder="1" applyAlignment="1">
      <alignment vertical="center" wrapText="1"/>
    </xf>
    <xf numFmtId="0" fontId="22" fillId="0" borderId="4" xfId="0" applyFont="1" applyBorder="1" applyAlignment="1">
      <alignment horizontal="center" vertical="center" wrapText="1"/>
    </xf>
    <xf numFmtId="0" fontId="21" fillId="0" borderId="5" xfId="0" applyFont="1" applyBorder="1" applyAlignment="1">
      <alignment vertical="center"/>
    </xf>
    <xf numFmtId="3" fontId="21" fillId="0" borderId="5" xfId="3" applyNumberFormat="1" applyFont="1" applyBorder="1" applyAlignment="1" applyProtection="1">
      <alignment horizontal="center" vertical="center" wrapText="1"/>
    </xf>
    <xf numFmtId="164" fontId="21" fillId="0" borderId="5" xfId="3" applyNumberFormat="1" applyFont="1" applyBorder="1" applyAlignment="1" applyProtection="1">
      <alignment horizontal="center" vertical="center" wrapText="1"/>
    </xf>
    <xf numFmtId="164" fontId="23" fillId="0" borderId="5" xfId="3" applyNumberFormat="1" applyFont="1" applyBorder="1" applyAlignment="1" applyProtection="1">
      <alignment horizontal="center" vertical="center" wrapText="1"/>
    </xf>
    <xf numFmtId="0" fontId="29" fillId="0" borderId="0" xfId="0" applyFont="1" applyBorder="1" applyAlignment="1">
      <alignment horizontal="left"/>
    </xf>
    <xf numFmtId="3" fontId="21" fillId="0" borderId="0" xfId="0" applyNumberFormat="1" applyFont="1" applyBorder="1" applyAlignment="1">
      <alignment vertical="center"/>
    </xf>
    <xf numFmtId="2" fontId="21" fillId="0" borderId="0" xfId="0" applyNumberFormat="1" applyFont="1" applyBorder="1" applyAlignment="1">
      <alignment vertical="center"/>
    </xf>
    <xf numFmtId="3" fontId="32" fillId="0" borderId="0" xfId="0" applyNumberFormat="1" applyFont="1" applyBorder="1" applyAlignment="1">
      <alignment vertical="center"/>
    </xf>
    <xf numFmtId="0" fontId="21" fillId="0" borderId="0" xfId="0" applyFont="1" applyBorder="1" applyAlignment="1">
      <alignment horizontal="left"/>
    </xf>
    <xf numFmtId="0" fontId="21" fillId="0" borderId="0" xfId="0" applyFont="1" applyBorder="1" applyAlignment="1">
      <alignment horizontal="left" indent="1"/>
    </xf>
    <xf numFmtId="3" fontId="21" fillId="0" borderId="0" xfId="0" applyNumberFormat="1" applyFont="1" applyBorder="1" applyAlignment="1">
      <alignment horizontal="right" vertical="center"/>
    </xf>
    <xf numFmtId="2" fontId="21" fillId="0" borderId="0" xfId="0" applyNumberFormat="1" applyFont="1" applyBorder="1"/>
    <xf numFmtId="3" fontId="21" fillId="0" borderId="0" xfId="0" applyNumberFormat="1" applyFont="1" applyBorder="1"/>
    <xf numFmtId="3" fontId="32" fillId="0" borderId="0" xfId="0" applyNumberFormat="1" applyFont="1" applyBorder="1"/>
    <xf numFmtId="0" fontId="21" fillId="0" borderId="5" xfId="0" applyFont="1" applyBorder="1" applyAlignment="1">
      <alignment horizontal="left" indent="1"/>
    </xf>
    <xf numFmtId="164" fontId="23" fillId="0" borderId="5" xfId="0" applyNumberFormat="1" applyFont="1" applyBorder="1" applyAlignment="1">
      <alignment vertical="center"/>
    </xf>
    <xf numFmtId="3" fontId="22" fillId="0" borderId="0" xfId="0" applyNumberFormat="1" applyFont="1"/>
    <xf numFmtId="0" fontId="20" fillId="0" borderId="0" xfId="0" applyFont="1" applyFill="1"/>
    <xf numFmtId="164" fontId="21" fillId="0" borderId="0" xfId="0" applyNumberFormat="1" applyFont="1" applyBorder="1" applyAlignment="1">
      <alignment vertical="center"/>
    </xf>
    <xf numFmtId="0" fontId="22" fillId="0" borderId="0" xfId="0" applyFont="1" applyBorder="1"/>
    <xf numFmtId="0" fontId="22" fillId="0" borderId="0" xfId="0" applyFont="1" applyBorder="1" applyAlignment="1">
      <alignment vertical="center"/>
    </xf>
    <xf numFmtId="0" fontId="22" fillId="0" borderId="0" xfId="0" applyFont="1" applyBorder="1" applyAlignment="1">
      <alignment vertical="center" wrapText="1"/>
    </xf>
    <xf numFmtId="164" fontId="23" fillId="0" borderId="0" xfId="0" applyNumberFormat="1" applyFont="1" applyBorder="1" applyAlignment="1">
      <alignment horizontal="right"/>
    </xf>
    <xf numFmtId="0" fontId="19" fillId="0" borderId="0" xfId="0" applyFont="1" applyFill="1" applyAlignment="1"/>
    <xf numFmtId="0" fontId="22" fillId="0" borderId="0" xfId="0" applyFont="1" applyFill="1"/>
    <xf numFmtId="3" fontId="21" fillId="2" borderId="0" xfId="0" applyNumberFormat="1" applyFont="1" applyFill="1" applyAlignment="1">
      <alignment horizontal="right"/>
    </xf>
    <xf numFmtId="0" fontId="21" fillId="2" borderId="0" xfId="0" applyFont="1" applyFill="1" applyAlignment="1"/>
    <xf numFmtId="0" fontId="21" fillId="0" borderId="0" xfId="0" applyFont="1" applyFill="1" applyBorder="1"/>
    <xf numFmtId="0" fontId="33" fillId="0" borderId="0" xfId="0" applyFont="1"/>
    <xf numFmtId="0" fontId="21" fillId="2" borderId="0" xfId="0" applyFont="1" applyFill="1" applyAlignment="1">
      <alignment horizontal="left"/>
    </xf>
    <xf numFmtId="0" fontId="22" fillId="4" borderId="0" xfId="0" applyFont="1" applyFill="1" applyBorder="1"/>
    <xf numFmtId="0" fontId="19" fillId="4" borderId="0" xfId="0" applyFont="1" applyFill="1" applyAlignment="1"/>
    <xf numFmtId="0" fontId="19" fillId="0" borderId="0" xfId="0" applyFont="1" applyFill="1" applyAlignment="1">
      <alignment horizontal="left" vertical="center"/>
    </xf>
    <xf numFmtId="0" fontId="18" fillId="0" borderId="0" xfId="1" applyFont="1" applyFill="1" applyAlignment="1"/>
    <xf numFmtId="0" fontId="4" fillId="0" borderId="0" xfId="0" applyFont="1" applyFill="1" applyAlignment="1">
      <alignment horizontal="left" wrapText="1"/>
    </xf>
    <xf numFmtId="0" fontId="17" fillId="0" borderId="0" xfId="0" applyFont="1" applyFill="1"/>
    <xf numFmtId="0" fontId="18" fillId="0" borderId="0" xfId="1" applyFont="1" applyFill="1"/>
    <xf numFmtId="0" fontId="22" fillId="0" borderId="0" xfId="0" applyFont="1" applyFill="1" applyBorder="1" applyAlignment="1">
      <alignment horizontal="left"/>
    </xf>
    <xf numFmtId="3" fontId="23" fillId="0" borderId="0" xfId="0" applyNumberFormat="1" applyFont="1" applyFill="1" applyAlignment="1">
      <alignment horizontal="right"/>
    </xf>
    <xf numFmtId="0" fontId="35" fillId="0" borderId="0" xfId="0" applyFont="1" applyFill="1"/>
    <xf numFmtId="0" fontId="35" fillId="0" borderId="0" xfId="0" applyFont="1"/>
    <xf numFmtId="2" fontId="23" fillId="0" borderId="0" xfId="0" applyNumberFormat="1" applyFont="1" applyBorder="1" applyAlignment="1">
      <alignment vertical="center"/>
    </xf>
    <xf numFmtId="0" fontId="23" fillId="0" borderId="0" xfId="0" applyFont="1" applyBorder="1" applyAlignment="1">
      <alignment vertical="center"/>
    </xf>
    <xf numFmtId="2" fontId="23" fillId="0" borderId="0" xfId="0" applyNumberFormat="1" applyFont="1" applyBorder="1"/>
    <xf numFmtId="3" fontId="23" fillId="0" borderId="0" xfId="0" applyNumberFormat="1" applyFont="1" applyBorder="1" applyAlignment="1">
      <alignment vertical="center"/>
    </xf>
    <xf numFmtId="0" fontId="21" fillId="0" borderId="0" xfId="0" applyFont="1" applyFill="1" applyAlignment="1">
      <alignment horizontal="left"/>
    </xf>
    <xf numFmtId="0" fontId="21" fillId="2" borderId="0" xfId="0" applyFont="1" applyFill="1" applyAlignment="1">
      <alignment vertical="center"/>
    </xf>
    <xf numFmtId="0" fontId="22" fillId="2" borderId="0" xfId="0" applyFont="1" applyFill="1" applyAlignment="1">
      <alignment horizontal="center" wrapText="1"/>
    </xf>
    <xf numFmtId="0" fontId="22" fillId="2" borderId="0" xfId="0" applyFont="1" applyFill="1"/>
    <xf numFmtId="0" fontId="21" fillId="2" borderId="0" xfId="0" applyFont="1" applyFill="1" applyBorder="1" applyAlignment="1">
      <alignment horizontal="right" vertical="center"/>
    </xf>
    <xf numFmtId="0" fontId="22" fillId="2" borderId="0" xfId="0" applyFont="1" applyFill="1" applyBorder="1" applyAlignment="1">
      <alignment horizontal="left"/>
    </xf>
    <xf numFmtId="0" fontId="21" fillId="2" borderId="0" xfId="0" applyFont="1" applyFill="1" applyBorder="1"/>
    <xf numFmtId="0" fontId="21" fillId="2" borderId="0" xfId="0" applyFont="1" applyFill="1" applyBorder="1" applyAlignment="1">
      <alignment horizontal="left"/>
    </xf>
    <xf numFmtId="0" fontId="21" fillId="2" borderId="5" xfId="0" applyFont="1" applyFill="1" applyBorder="1"/>
    <xf numFmtId="3" fontId="22" fillId="2" borderId="0" xfId="0" applyNumberFormat="1" applyFont="1" applyFill="1"/>
    <xf numFmtId="0" fontId="19" fillId="2" borderId="0" xfId="0" applyFont="1" applyFill="1" applyAlignment="1"/>
    <xf numFmtId="3" fontId="21" fillId="2" borderId="0" xfId="0" applyNumberFormat="1" applyFont="1" applyFill="1"/>
    <xf numFmtId="1" fontId="21" fillId="2" borderId="0" xfId="0" applyNumberFormat="1" applyFont="1" applyFill="1"/>
    <xf numFmtId="0" fontId="22" fillId="0" borderId="3" xfId="0" applyFont="1" applyBorder="1" applyAlignment="1">
      <alignment horizontal="center" wrapText="1"/>
    </xf>
    <xf numFmtId="0" fontId="22"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0" fillId="0" borderId="0" xfId="0" applyNumberFormat="1"/>
    <xf numFmtId="0" fontId="22" fillId="0" borderId="3" xfId="0" applyNumberFormat="1" applyFont="1" applyBorder="1" applyAlignment="1">
      <alignment horizontal="center" wrapText="1"/>
    </xf>
    <xf numFmtId="0" fontId="22" fillId="0" borderId="3" xfId="0" applyNumberFormat="1" applyFont="1" applyBorder="1" applyAlignment="1">
      <alignment horizontal="center" vertical="center" wrapText="1"/>
    </xf>
    <xf numFmtId="0" fontId="21" fillId="0" borderId="5" xfId="0" applyNumberFormat="1" applyFont="1" applyBorder="1"/>
    <xf numFmtId="0" fontId="21" fillId="0" borderId="5" xfId="0" applyNumberFormat="1" applyFont="1" applyBorder="1" applyAlignment="1">
      <alignment vertical="center"/>
    </xf>
    <xf numFmtId="0" fontId="21" fillId="0" borderId="4" xfId="0" applyNumberFormat="1" applyFont="1" applyBorder="1" applyAlignment="1">
      <alignment horizontal="center" vertical="center"/>
    </xf>
    <xf numFmtId="0" fontId="21" fillId="0" borderId="1" xfId="0" applyNumberFormat="1" applyFont="1" applyBorder="1" applyAlignment="1">
      <alignment horizontal="center" vertical="center"/>
    </xf>
    <xf numFmtId="0" fontId="21" fillId="0" borderId="8" xfId="0" applyNumberFormat="1" applyFont="1" applyBorder="1" applyAlignment="1">
      <alignment horizontal="center" vertical="center" wrapText="1"/>
    </xf>
    <xf numFmtId="0" fontId="41" fillId="0" borderId="9" xfId="0" applyNumberFormat="1" applyFont="1" applyBorder="1" applyAlignment="1">
      <alignment vertical="center"/>
    </xf>
    <xf numFmtId="0" fontId="21" fillId="0" borderId="0" xfId="0" applyNumberFormat="1" applyFont="1" applyBorder="1" applyAlignment="1">
      <alignment vertical="center"/>
    </xf>
    <xf numFmtId="0" fontId="21" fillId="0" borderId="10" xfId="0" applyNumberFormat="1" applyFont="1" applyBorder="1" applyAlignment="1">
      <alignment vertical="center"/>
    </xf>
    <xf numFmtId="0" fontId="21" fillId="0" borderId="11" xfId="0" applyNumberFormat="1" applyFont="1" applyBorder="1" applyAlignment="1">
      <alignment vertical="center"/>
    </xf>
    <xf numFmtId="0" fontId="21" fillId="0" borderId="10" xfId="0" applyNumberFormat="1" applyFont="1" applyBorder="1" applyAlignment="1">
      <alignment horizontal="right"/>
    </xf>
    <xf numFmtId="0" fontId="21" fillId="0" borderId="0" xfId="0" applyNumberFormat="1" applyFont="1" applyBorder="1" applyAlignment="1">
      <alignment horizontal="right"/>
    </xf>
    <xf numFmtId="0" fontId="21" fillId="0" borderId="11" xfId="0" applyNumberFormat="1" applyFont="1" applyBorder="1" applyAlignment="1">
      <alignment horizontal="right"/>
    </xf>
    <xf numFmtId="0" fontId="22" fillId="0" borderId="0" xfId="0" applyNumberFormat="1" applyFont="1" applyBorder="1" applyAlignment="1">
      <alignment horizontal="left"/>
    </xf>
    <xf numFmtId="0" fontId="21" fillId="0" borderId="0" xfId="0" applyNumberFormat="1" applyFont="1" applyBorder="1" applyAlignment="1">
      <alignment horizontal="left"/>
    </xf>
    <xf numFmtId="0" fontId="21" fillId="0" borderId="0" xfId="0" applyNumberFormat="1" applyFont="1" applyBorder="1" applyAlignment="1">
      <alignment horizontal="right" vertical="center"/>
    </xf>
    <xf numFmtId="0" fontId="21" fillId="0" borderId="11" xfId="0" applyNumberFormat="1" applyFont="1" applyBorder="1" applyAlignment="1">
      <alignment horizontal="right" vertical="center"/>
    </xf>
    <xf numFmtId="0" fontId="21" fillId="0" borderId="0" xfId="0" applyNumberFormat="1" applyFont="1" applyBorder="1" applyAlignment="1">
      <alignment horizontal="left" indent="1"/>
    </xf>
    <xf numFmtId="0" fontId="21" fillId="0" borderId="10" xfId="0" applyNumberFormat="1" applyFont="1" applyBorder="1" applyAlignment="1">
      <alignment horizontal="right" vertical="center"/>
    </xf>
    <xf numFmtId="0" fontId="21" fillId="0" borderId="0" xfId="0" applyNumberFormat="1" applyFont="1" applyBorder="1"/>
    <xf numFmtId="0" fontId="21" fillId="0" borderId="11" xfId="0" applyNumberFormat="1" applyFont="1" applyBorder="1"/>
    <xf numFmtId="0" fontId="38" fillId="0" borderId="0" xfId="0" applyNumberFormat="1" applyFont="1" applyBorder="1" applyAlignment="1">
      <alignment vertical="center"/>
    </xf>
    <xf numFmtId="0" fontId="38" fillId="0" borderId="5" xfId="0" applyNumberFormat="1" applyFont="1" applyBorder="1" applyAlignment="1">
      <alignment vertical="center"/>
    </xf>
    <xf numFmtId="0" fontId="21" fillId="0" borderId="12" xfId="0" applyNumberFormat="1" applyFont="1" applyBorder="1" applyAlignment="1">
      <alignment vertical="center"/>
    </xf>
    <xf numFmtId="0" fontId="21" fillId="0" borderId="13" xfId="0" applyNumberFormat="1" applyFont="1" applyBorder="1" applyAlignment="1">
      <alignment vertical="center"/>
    </xf>
    <xf numFmtId="0" fontId="21" fillId="0" borderId="12" xfId="0" applyNumberFormat="1" applyFont="1" applyBorder="1" applyAlignment="1">
      <alignment horizontal="right"/>
    </xf>
    <xf numFmtId="0" fontId="21" fillId="0" borderId="5" xfId="0" applyNumberFormat="1" applyFont="1" applyBorder="1" applyAlignment="1">
      <alignment horizontal="right"/>
    </xf>
    <xf numFmtId="0" fontId="21" fillId="0" borderId="13" xfId="0" applyNumberFormat="1" applyFont="1" applyBorder="1" applyAlignment="1">
      <alignment horizontal="right"/>
    </xf>
    <xf numFmtId="0" fontId="21" fillId="0" borderId="5" xfId="0" applyNumberFormat="1" applyFont="1" applyBorder="1" applyAlignment="1">
      <alignment horizontal="left" indent="1"/>
    </xf>
    <xf numFmtId="0" fontId="21" fillId="0" borderId="9" xfId="0" applyNumberFormat="1" applyFont="1" applyBorder="1" applyAlignment="1">
      <alignment vertical="center"/>
    </xf>
    <xf numFmtId="0" fontId="21" fillId="0" borderId="3" xfId="0" applyNumberFormat="1" applyFont="1" applyBorder="1" applyAlignment="1">
      <alignment vertical="center"/>
    </xf>
    <xf numFmtId="0" fontId="21" fillId="0" borderId="14" xfId="0" applyNumberFormat="1" applyFont="1" applyBorder="1" applyAlignment="1">
      <alignment vertical="center"/>
    </xf>
    <xf numFmtId="0" fontId="21" fillId="0" borderId="9" xfId="0" applyNumberFormat="1" applyFont="1" applyBorder="1" applyAlignment="1">
      <alignment horizontal="right"/>
    </xf>
    <xf numFmtId="0" fontId="21" fillId="0" borderId="3" xfId="0" applyNumberFormat="1" applyFont="1" applyBorder="1" applyAlignment="1">
      <alignment horizontal="right"/>
    </xf>
    <xf numFmtId="0" fontId="21" fillId="0" borderId="14" xfId="0" applyNumberFormat="1" applyFont="1" applyBorder="1" applyAlignment="1">
      <alignment horizontal="right"/>
    </xf>
    <xf numFmtId="0" fontId="22" fillId="0" borderId="0" xfId="0" applyFont="1" applyBorder="1" applyAlignment="1">
      <alignment wrapText="1"/>
    </xf>
    <xf numFmtId="0" fontId="21" fillId="0" borderId="16" xfId="0" applyFont="1" applyBorder="1" applyAlignment="1">
      <alignment vertical="center"/>
    </xf>
    <xf numFmtId="0" fontId="21" fillId="0" borderId="17" xfId="0" applyFont="1" applyBorder="1" applyAlignment="1">
      <alignment vertical="center"/>
    </xf>
    <xf numFmtId="3" fontId="21" fillId="0" borderId="0" xfId="0" applyNumberFormat="1" applyFont="1" applyBorder="1" applyAlignment="1">
      <alignment horizontal="right"/>
    </xf>
    <xf numFmtId="3" fontId="24" fillId="0" borderId="0" xfId="0" applyNumberFormat="1" applyFont="1"/>
    <xf numFmtId="4" fontId="21" fillId="0" borderId="0" xfId="0" applyNumberFormat="1" applyFont="1" applyBorder="1" applyAlignment="1">
      <alignment horizontal="right" vertical="center"/>
    </xf>
    <xf numFmtId="4" fontId="23" fillId="0" borderId="0" xfId="0" applyNumberFormat="1" applyFont="1" applyBorder="1" applyAlignment="1">
      <alignment horizontal="right" vertical="center"/>
    </xf>
    <xf numFmtId="3" fontId="23" fillId="0" borderId="0" xfId="0" applyNumberFormat="1" applyFont="1" applyBorder="1" applyAlignment="1">
      <alignment horizontal="right" vertical="center"/>
    </xf>
    <xf numFmtId="4" fontId="21" fillId="0" borderId="0" xfId="0" applyNumberFormat="1" applyFont="1" applyBorder="1" applyAlignment="1">
      <alignment horizontal="right"/>
    </xf>
    <xf numFmtId="3" fontId="23" fillId="0" borderId="0" xfId="0" applyNumberFormat="1" applyFont="1" applyBorder="1"/>
    <xf numFmtId="3" fontId="23" fillId="0" borderId="0" xfId="0" applyNumberFormat="1" applyFont="1" applyBorder="1" applyAlignment="1">
      <alignment horizontal="right"/>
    </xf>
    <xf numFmtId="0" fontId="23" fillId="0" borderId="0" xfId="0" applyFont="1"/>
    <xf numFmtId="0" fontId="36" fillId="0" borderId="0" xfId="0" applyFont="1"/>
    <xf numFmtId="164" fontId="21" fillId="2" borderId="0" xfId="0" applyNumberFormat="1" applyFont="1" applyFill="1" applyBorder="1" applyAlignment="1">
      <alignment horizontal="right"/>
    </xf>
    <xf numFmtId="164" fontId="23" fillId="2" borderId="0" xfId="0" applyNumberFormat="1" applyFont="1" applyFill="1" applyBorder="1" applyAlignment="1">
      <alignment horizontal="right"/>
    </xf>
    <xf numFmtId="3" fontId="21" fillId="2" borderId="0" xfId="0" applyNumberFormat="1" applyFont="1" applyFill="1" applyBorder="1" applyAlignment="1">
      <alignment horizontal="right"/>
    </xf>
    <xf numFmtId="3" fontId="21" fillId="2" borderId="0" xfId="0" applyNumberFormat="1" applyFont="1" applyFill="1" applyBorder="1"/>
    <xf numFmtId="164" fontId="21" fillId="2" borderId="0" xfId="0" applyNumberFormat="1" applyFont="1" applyFill="1" applyBorder="1"/>
    <xf numFmtId="0" fontId="23" fillId="2" borderId="0" xfId="0" applyFont="1" applyFill="1" applyBorder="1" applyAlignment="1">
      <alignment horizontal="right"/>
    </xf>
    <xf numFmtId="0" fontId="21" fillId="2" borderId="0" xfId="0" applyFont="1" applyFill="1" applyBorder="1" applyAlignment="1">
      <alignment vertical="center"/>
    </xf>
    <xf numFmtId="1" fontId="21" fillId="2" borderId="0" xfId="0" applyNumberFormat="1" applyFont="1" applyFill="1" applyAlignment="1">
      <alignment horizontal="right"/>
    </xf>
    <xf numFmtId="0" fontId="21" fillId="2" borderId="4" xfId="0" applyFont="1" applyFill="1" applyBorder="1" applyAlignment="1">
      <alignment horizontal="center" vertical="center"/>
    </xf>
    <xf numFmtId="0" fontId="37" fillId="2" borderId="0" xfId="0" applyFont="1" applyFill="1" applyBorder="1" applyAlignment="1">
      <alignment horizontal="right"/>
    </xf>
    <xf numFmtId="0" fontId="34" fillId="0" borderId="0" xfId="0" applyFont="1" applyFill="1" applyBorder="1"/>
    <xf numFmtId="164" fontId="21" fillId="0" borderId="10" xfId="0" applyNumberFormat="1" applyFont="1" applyBorder="1" applyAlignment="1">
      <alignment vertical="center"/>
    </xf>
    <xf numFmtId="164" fontId="21" fillId="0" borderId="5" xfId="0" applyNumberFormat="1" applyFont="1" applyBorder="1" applyAlignment="1">
      <alignment vertical="center"/>
    </xf>
    <xf numFmtId="164" fontId="21" fillId="0" borderId="12" xfId="0" applyNumberFormat="1" applyFont="1" applyBorder="1" applyAlignment="1">
      <alignment vertical="center"/>
    </xf>
    <xf numFmtId="0" fontId="21" fillId="0" borderId="15" xfId="0" quotePrefix="1" applyFont="1" applyBorder="1" applyAlignment="1">
      <alignment horizontal="center" vertical="center" wrapText="1"/>
    </xf>
    <xf numFmtId="0" fontId="21" fillId="0" borderId="4" xfId="0" quotePrefix="1" applyFont="1" applyBorder="1" applyAlignment="1">
      <alignment horizontal="center" vertical="center" wrapText="1"/>
    </xf>
    <xf numFmtId="0" fontId="21" fillId="2" borderId="0" xfId="0" applyFont="1" applyFill="1" applyAlignment="1">
      <alignment wrapText="1"/>
    </xf>
    <xf numFmtId="3" fontId="21" fillId="0" borderId="11" xfId="0" applyNumberFormat="1" applyFont="1" applyBorder="1" applyAlignment="1">
      <alignment horizontal="right"/>
    </xf>
    <xf numFmtId="164" fontId="21" fillId="0" borderId="11" xfId="0" applyNumberFormat="1" applyFont="1" applyBorder="1" applyAlignment="1">
      <alignment horizontal="right"/>
    </xf>
    <xf numFmtId="4" fontId="21" fillId="0" borderId="0" xfId="0" applyNumberFormat="1" applyFont="1" applyBorder="1" applyAlignment="1">
      <alignment vertical="center"/>
    </xf>
    <xf numFmtId="0" fontId="41" fillId="0" borderId="0" xfId="0" applyFont="1"/>
    <xf numFmtId="0" fontId="33" fillId="2" borderId="0" xfId="0" applyFont="1" applyFill="1"/>
    <xf numFmtId="0" fontId="4" fillId="0" borderId="0" xfId="0" applyNumberFormat="1" applyFont="1"/>
    <xf numFmtId="3" fontId="24" fillId="2" borderId="0" xfId="0" applyNumberFormat="1" applyFont="1" applyFill="1"/>
    <xf numFmtId="3" fontId="21" fillId="2" borderId="0" xfId="0" applyNumberFormat="1" applyFont="1" applyFill="1" applyBorder="1" applyAlignment="1">
      <alignment vertical="center"/>
    </xf>
    <xf numFmtId="165" fontId="21" fillId="2" borderId="0" xfId="0" applyNumberFormat="1" applyFont="1" applyFill="1" applyBorder="1" applyAlignment="1">
      <alignment vertical="center"/>
    </xf>
    <xf numFmtId="3" fontId="21" fillId="2" borderId="0" xfId="0" applyNumberFormat="1" applyFont="1" applyFill="1" applyBorder="1" applyAlignment="1">
      <alignment horizontal="right" vertical="center"/>
    </xf>
    <xf numFmtId="0" fontId="21" fillId="2" borderId="0" xfId="0" applyFont="1" applyFill="1" applyAlignment="1">
      <alignment horizontal="left"/>
    </xf>
    <xf numFmtId="0" fontId="21" fillId="0" borderId="0" xfId="0" applyFont="1" applyAlignment="1">
      <alignment horizontal="left" wrapText="1"/>
    </xf>
    <xf numFmtId="0" fontId="21" fillId="2" borderId="0" xfId="0" applyFont="1" applyFill="1"/>
    <xf numFmtId="0" fontId="21" fillId="2" borderId="0" xfId="0" applyFont="1" applyFill="1" applyBorder="1" applyAlignment="1">
      <alignment horizontal="center"/>
    </xf>
    <xf numFmtId="0" fontId="21" fillId="2" borderId="4" xfId="0" applyFont="1" applyFill="1" applyBorder="1" applyAlignment="1">
      <alignment horizontal="center" vertical="center" wrapText="1"/>
    </xf>
    <xf numFmtId="0" fontId="22" fillId="2" borderId="0" xfId="0" applyFont="1" applyFill="1" applyAlignment="1">
      <alignment horizontal="left"/>
    </xf>
    <xf numFmtId="0" fontId="21" fillId="2" borderId="0" xfId="0" applyFont="1" applyFill="1" applyAlignment="1">
      <alignment horizontal="left"/>
    </xf>
    <xf numFmtId="0" fontId="21" fillId="2" borderId="0" xfId="0" applyFont="1" applyFill="1" applyAlignment="1">
      <alignment horizontal="left" wrapText="1"/>
    </xf>
    <xf numFmtId="0" fontId="60" fillId="0" borderId="0" xfId="1" applyFont="1"/>
    <xf numFmtId="0" fontId="4" fillId="3" borderId="2" xfId="0" applyFont="1" applyFill="1" applyBorder="1" applyAlignment="1">
      <alignment horizontal="left" vertical="top"/>
    </xf>
    <xf numFmtId="0" fontId="41" fillId="0" borderId="0" xfId="0" applyFont="1" applyBorder="1" applyAlignment="1">
      <alignment vertical="center"/>
    </xf>
    <xf numFmtId="164" fontId="21" fillId="0" borderId="0" xfId="0" applyNumberFormat="1" applyFont="1" applyFill="1" applyAlignment="1">
      <alignment horizontal="right"/>
    </xf>
    <xf numFmtId="0" fontId="62" fillId="2" borderId="0" xfId="0" applyFont="1" applyFill="1"/>
    <xf numFmtId="0" fontId="60" fillId="2" borderId="0" xfId="1" applyFont="1" applyFill="1"/>
    <xf numFmtId="0" fontId="19" fillId="2" borderId="0" xfId="0" applyFont="1" applyFill="1" applyAlignment="1">
      <alignment horizontal="left"/>
    </xf>
    <xf numFmtId="0" fontId="20" fillId="2" borderId="0" xfId="0" applyFont="1" applyFill="1"/>
    <xf numFmtId="0" fontId="22" fillId="2" borderId="0" xfId="0" applyFont="1" applyFill="1" applyBorder="1"/>
    <xf numFmtId="0" fontId="22" fillId="2" borderId="0" xfId="0" applyFont="1" applyFill="1" applyBorder="1" applyAlignment="1">
      <alignment vertical="center"/>
    </xf>
    <xf numFmtId="0" fontId="22" fillId="2" borderId="0" xfId="0" applyFont="1" applyFill="1" applyBorder="1" applyAlignment="1">
      <alignment vertical="center" wrapText="1"/>
    </xf>
    <xf numFmtId="0" fontId="4" fillId="2" borderId="3" xfId="0" applyFont="1" applyFill="1" applyBorder="1"/>
    <xf numFmtId="0" fontId="22" fillId="2" borderId="3" xfId="0" applyFont="1" applyFill="1" applyBorder="1" applyAlignment="1">
      <alignment horizontal="center" vertical="center" wrapText="1"/>
    </xf>
    <xf numFmtId="0" fontId="21" fillId="2" borderId="5" xfId="0" applyFont="1" applyFill="1" applyBorder="1" applyAlignment="1">
      <alignment vertical="center"/>
    </xf>
    <xf numFmtId="3" fontId="21" fillId="2" borderId="5" xfId="3" applyNumberFormat="1" applyFont="1" applyFill="1" applyBorder="1" applyAlignment="1" applyProtection="1">
      <alignment horizontal="center" vertical="center" wrapText="1"/>
    </xf>
    <xf numFmtId="164" fontId="21" fillId="2" borderId="5" xfId="3" applyNumberFormat="1" applyFont="1" applyFill="1" applyBorder="1" applyAlignment="1" applyProtection="1">
      <alignment horizontal="center" vertical="center" wrapText="1"/>
    </xf>
    <xf numFmtId="164" fontId="23" fillId="2" borderId="5" xfId="3" applyNumberFormat="1" applyFont="1" applyFill="1" applyBorder="1" applyAlignment="1" applyProtection="1">
      <alignment horizontal="center" vertical="center" wrapText="1"/>
    </xf>
    <xf numFmtId="0" fontId="29" fillId="2" borderId="0" xfId="0" applyFont="1" applyFill="1" applyBorder="1" applyAlignment="1">
      <alignment horizontal="left"/>
    </xf>
    <xf numFmtId="0" fontId="21" fillId="2" borderId="0" xfId="0" applyFont="1" applyFill="1" applyBorder="1" applyAlignment="1">
      <alignment horizontal="right"/>
    </xf>
    <xf numFmtId="0" fontId="21" fillId="2" borderId="0" xfId="0" applyFont="1" applyFill="1" applyBorder="1" applyAlignment="1">
      <alignment horizontal="left" indent="1"/>
    </xf>
    <xf numFmtId="0" fontId="21" fillId="2" borderId="5" xfId="0" applyFont="1" applyFill="1" applyBorder="1" applyAlignment="1">
      <alignment horizontal="left" indent="1"/>
    </xf>
    <xf numFmtId="164" fontId="23" fillId="2" borderId="5" xfId="0" applyNumberFormat="1" applyFont="1" applyFill="1" applyBorder="1" applyAlignment="1">
      <alignment vertical="center"/>
    </xf>
    <xf numFmtId="0" fontId="10" fillId="2" borderId="0" xfId="0" applyFont="1" applyFill="1"/>
    <xf numFmtId="1" fontId="41" fillId="0" borderId="0" xfId="0" applyNumberFormat="1" applyFont="1" applyAlignment="1">
      <alignment horizontal="right"/>
    </xf>
    <xf numFmtId="1" fontId="41" fillId="0" borderId="0" xfId="0" applyNumberFormat="1" applyFont="1"/>
    <xf numFmtId="1" fontId="4" fillId="0" borderId="0" xfId="0" applyNumberFormat="1" applyFont="1" applyFill="1"/>
    <xf numFmtId="0" fontId="4" fillId="0" borderId="0" xfId="0" applyFont="1" applyFill="1" applyAlignment="1">
      <alignment horizontal="right"/>
    </xf>
    <xf numFmtId="0" fontId="4" fillId="2" borderId="0" xfId="0" applyFont="1" applyFill="1" applyAlignment="1">
      <alignment horizontal="left"/>
    </xf>
    <xf numFmtId="0" fontId="0" fillId="2" borderId="0" xfId="0" applyFill="1" applyAlignment="1"/>
    <xf numFmtId="0" fontId="21" fillId="2" borderId="4" xfId="0" applyFont="1" applyFill="1" applyBorder="1"/>
    <xf numFmtId="0" fontId="4" fillId="2" borderId="5" xfId="0" applyFont="1" applyFill="1" applyBorder="1"/>
    <xf numFmtId="0" fontId="21" fillId="2" borderId="0" xfId="0" applyFont="1" applyFill="1" applyAlignment="1">
      <alignment horizontal="left" indent="1"/>
    </xf>
    <xf numFmtId="3" fontId="4" fillId="2" borderId="0" xfId="0" applyNumberFormat="1" applyFont="1" applyFill="1"/>
    <xf numFmtId="0" fontId="25" fillId="2" borderId="0" xfId="0" applyFont="1" applyFill="1" applyAlignment="1">
      <alignment horizontal="right"/>
    </xf>
    <xf numFmtId="165" fontId="23" fillId="2" borderId="0" xfId="0" applyNumberFormat="1" applyFont="1" applyFill="1" applyBorder="1" applyAlignment="1">
      <alignment horizontal="right"/>
    </xf>
    <xf numFmtId="3" fontId="23" fillId="2" borderId="0" xfId="0" applyNumberFormat="1" applyFont="1" applyFill="1" applyBorder="1" applyAlignment="1">
      <alignment horizontal="right"/>
    </xf>
    <xf numFmtId="0" fontId="21" fillId="3" borderId="1" xfId="0" applyFont="1" applyFill="1" applyBorder="1" applyAlignment="1"/>
    <xf numFmtId="0" fontId="41" fillId="0" borderId="0" xfId="0" applyFont="1" applyAlignment="1">
      <alignment vertical="center"/>
    </xf>
    <xf numFmtId="3" fontId="21" fillId="0" borderId="16" xfId="0" applyNumberFormat="1" applyFont="1" applyBorder="1" applyAlignment="1">
      <alignment vertical="center"/>
    </xf>
    <xf numFmtId="3" fontId="21" fillId="0" borderId="16" xfId="0" applyNumberFormat="1" applyFont="1" applyBorder="1" applyAlignment="1">
      <alignment horizontal="right" vertical="center"/>
    </xf>
    <xf numFmtId="3" fontId="21" fillId="0" borderId="16" xfId="0" applyNumberFormat="1" applyFont="1" applyBorder="1"/>
    <xf numFmtId="164" fontId="23" fillId="0" borderId="0" xfId="0" applyNumberFormat="1" applyFont="1" applyBorder="1" applyAlignment="1">
      <alignment horizontal="right" vertical="center"/>
    </xf>
    <xf numFmtId="164" fontId="21" fillId="0" borderId="16" xfId="0" applyNumberFormat="1" applyFont="1" applyBorder="1" applyAlignment="1">
      <alignment horizontal="right" vertical="center"/>
    </xf>
    <xf numFmtId="164" fontId="23" fillId="0" borderId="16" xfId="0" applyNumberFormat="1" applyFont="1" applyBorder="1" applyAlignment="1">
      <alignment horizontal="right" vertical="center"/>
    </xf>
    <xf numFmtId="164" fontId="23" fillId="0" borderId="16" xfId="0" applyNumberFormat="1" applyFont="1" applyBorder="1" applyAlignment="1">
      <alignment horizontal="right"/>
    </xf>
    <xf numFmtId="164" fontId="23" fillId="0" borderId="5" xfId="0" applyNumberFormat="1" applyFont="1" applyBorder="1" applyAlignment="1">
      <alignment horizontal="right" vertical="center"/>
    </xf>
    <xf numFmtId="0" fontId="21" fillId="0" borderId="0" xfId="0" applyFont="1" applyFill="1" applyBorder="1" applyAlignment="1"/>
    <xf numFmtId="0" fontId="41" fillId="0" borderId="0" xfId="0" applyFont="1" applyBorder="1"/>
    <xf numFmtId="164" fontId="23" fillId="0" borderId="0" xfId="0" applyNumberFormat="1" applyFont="1" applyBorder="1" applyAlignment="1">
      <alignment vertical="center"/>
    </xf>
    <xf numFmtId="164" fontId="23" fillId="0" borderId="0" xfId="0" applyNumberFormat="1" applyFont="1" applyBorder="1"/>
    <xf numFmtId="0" fontId="64" fillId="2" borderId="0" xfId="0" applyFont="1" applyFill="1"/>
    <xf numFmtId="0" fontId="21" fillId="2" borderId="0" xfId="3" applyFont="1" applyFill="1"/>
    <xf numFmtId="0" fontId="21" fillId="2" borderId="3" xfId="3" applyFont="1" applyFill="1" applyBorder="1"/>
    <xf numFmtId="0" fontId="21" fillId="2" borderId="5" xfId="3" applyFont="1" applyFill="1" applyBorder="1"/>
    <xf numFmtId="0" fontId="21" fillId="2" borderId="4"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3" xfId="0" applyFont="1" applyFill="1" applyBorder="1"/>
    <xf numFmtId="0" fontId="21" fillId="2" borderId="0" xfId="0" applyFont="1" applyFill="1" applyBorder="1" applyAlignment="1">
      <alignment horizontal="center" vertical="center" wrapText="1"/>
    </xf>
    <xf numFmtId="0" fontId="21" fillId="2" borderId="0" xfId="0" quotePrefix="1" applyNumberFormat="1" applyFont="1" applyFill="1" applyBorder="1" applyAlignment="1">
      <alignment horizontal="left" indent="2"/>
    </xf>
    <xf numFmtId="3" fontId="21" fillId="2" borderId="0" xfId="0" quotePrefix="1" applyNumberFormat="1" applyFont="1" applyFill="1" applyBorder="1" applyAlignment="1">
      <alignment horizontal="right" indent="2"/>
    </xf>
    <xf numFmtId="164" fontId="21" fillId="2" borderId="0" xfId="0" quotePrefix="1" applyNumberFormat="1" applyFont="1" applyFill="1" applyBorder="1" applyAlignment="1">
      <alignment horizontal="right" indent="2"/>
    </xf>
    <xf numFmtId="0" fontId="21" fillId="2" borderId="0" xfId="0" quotePrefix="1" applyNumberFormat="1" applyFont="1" applyFill="1" applyBorder="1" applyAlignment="1">
      <alignment horizontal="right" indent="2"/>
    </xf>
    <xf numFmtId="0" fontId="17" fillId="2" borderId="0" xfId="0" applyFont="1" applyFill="1"/>
    <xf numFmtId="0" fontId="21" fillId="3" borderId="2" xfId="0" applyFont="1" applyFill="1" applyBorder="1" applyAlignment="1">
      <alignment horizontal="center"/>
    </xf>
    <xf numFmtId="0" fontId="20" fillId="2" borderId="0" xfId="0" applyFont="1" applyFill="1" applyAlignment="1"/>
    <xf numFmtId="0" fontId="62" fillId="2" borderId="0" xfId="0" applyFont="1" applyFill="1" applyAlignment="1">
      <alignment horizontal="left"/>
    </xf>
    <xf numFmtId="0" fontId="62" fillId="2" borderId="0" xfId="0" applyFont="1" applyFill="1" applyAlignment="1">
      <alignment horizontal="right"/>
    </xf>
    <xf numFmtId="0" fontId="4" fillId="2" borderId="0" xfId="0" applyFont="1" applyFill="1" applyAlignment="1"/>
    <xf numFmtId="0" fontId="21" fillId="3" borderId="2" xfId="0" applyFont="1" applyFill="1" applyBorder="1" applyAlignment="1"/>
    <xf numFmtId="4" fontId="21" fillId="2" borderId="0" xfId="0" applyNumberFormat="1" applyFont="1" applyFill="1" applyBorder="1" applyAlignment="1">
      <alignment vertical="center"/>
    </xf>
    <xf numFmtId="0" fontId="22" fillId="2" borderId="0" xfId="0" applyFont="1" applyFill="1" applyAlignment="1">
      <alignment wrapText="1"/>
    </xf>
    <xf numFmtId="0" fontId="22" fillId="2" borderId="0" xfId="0" applyFont="1" applyFill="1" applyBorder="1" applyAlignment="1">
      <alignment wrapText="1"/>
    </xf>
    <xf numFmtId="0" fontId="62" fillId="2" borderId="0" xfId="0" applyFont="1" applyFill="1" applyBorder="1" applyAlignment="1"/>
    <xf numFmtId="0" fontId="62" fillId="2" borderId="0" xfId="0" applyFont="1" applyFill="1" applyBorder="1" applyAlignment="1">
      <alignment horizontal="left"/>
    </xf>
    <xf numFmtId="0" fontId="22" fillId="2" borderId="3" xfId="0" applyFont="1" applyFill="1" applyBorder="1" applyAlignment="1">
      <alignment horizontal="center" wrapText="1"/>
    </xf>
    <xf numFmtId="0" fontId="22" fillId="2" borderId="0" xfId="0" applyFont="1" applyFill="1" applyBorder="1" applyAlignment="1">
      <alignment horizontal="center" vertical="center" wrapText="1"/>
    </xf>
    <xf numFmtId="0" fontId="21" fillId="2" borderId="4" xfId="0" quotePrefix="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0" xfId="0" quotePrefix="1" applyFont="1" applyFill="1" applyBorder="1" applyAlignment="1">
      <alignment horizontal="center" vertical="center" wrapText="1"/>
    </xf>
    <xf numFmtId="164" fontId="21" fillId="2" borderId="0" xfId="0" applyNumberFormat="1" applyFont="1" applyFill="1" applyBorder="1" applyAlignment="1">
      <alignment horizontal="right" vertical="center"/>
    </xf>
    <xf numFmtId="164" fontId="23" fillId="2" borderId="0" xfId="0" applyNumberFormat="1" applyFont="1" applyFill="1" applyBorder="1" applyAlignment="1">
      <alignment horizontal="right" vertical="center"/>
    </xf>
    <xf numFmtId="164" fontId="21" fillId="2" borderId="0" xfId="0" applyNumberFormat="1" applyFont="1" applyFill="1" applyBorder="1" applyAlignment="1">
      <alignment vertical="center"/>
    </xf>
    <xf numFmtId="0" fontId="0" fillId="0" borderId="0" xfId="0" applyAlignment="1">
      <alignment wrapText="1"/>
    </xf>
    <xf numFmtId="1" fontId="4" fillId="2" borderId="0" xfId="0" applyNumberFormat="1" applyFont="1" applyFill="1"/>
    <xf numFmtId="1" fontId="4" fillId="2" borderId="0" xfId="0" applyNumberFormat="1" applyFont="1" applyFill="1" applyAlignment="1">
      <alignment horizontal="right"/>
    </xf>
    <xf numFmtId="164" fontId="21" fillId="0" borderId="0" xfId="0" applyNumberFormat="1" applyFont="1" applyBorder="1"/>
    <xf numFmtId="164" fontId="21" fillId="0" borderId="0" xfId="0" applyNumberFormat="1" applyFont="1" applyBorder="1" applyAlignment="1">
      <alignment horizontal="right" vertical="center"/>
    </xf>
    <xf numFmtId="0" fontId="10" fillId="0" borderId="0" xfId="0" applyFont="1"/>
    <xf numFmtId="164" fontId="21" fillId="2" borderId="5" xfId="0" applyNumberFormat="1" applyFont="1" applyFill="1" applyBorder="1" applyAlignment="1">
      <alignment horizontal="right" vertical="center"/>
    </xf>
    <xf numFmtId="0" fontId="65" fillId="2" borderId="0" xfId="0" applyFont="1" applyFill="1"/>
    <xf numFmtId="0" fontId="0" fillId="0" borderId="0" xfId="0" applyAlignment="1"/>
    <xf numFmtId="0" fontId="4" fillId="2" borderId="0" xfId="0" applyFont="1" applyFill="1" applyAlignment="1">
      <alignment vertical="top"/>
    </xf>
    <xf numFmtId="0" fontId="0" fillId="0" borderId="0" xfId="0" applyAlignment="1">
      <alignment horizontal="left" vertical="top"/>
    </xf>
    <xf numFmtId="0" fontId="38" fillId="2" borderId="0" xfId="0" applyFont="1" applyFill="1" applyAlignment="1">
      <alignment vertical="top"/>
    </xf>
    <xf numFmtId="0" fontId="38" fillId="0" borderId="0" xfId="0" applyFont="1" applyAlignment="1">
      <alignment vertical="top"/>
    </xf>
    <xf numFmtId="0" fontId="66" fillId="0" borderId="0" xfId="1" applyFont="1" applyFill="1" applyAlignment="1" applyProtection="1">
      <alignment horizontal="left" vertical="center" indent="2"/>
    </xf>
    <xf numFmtId="0" fontId="21" fillId="0" borderId="0" xfId="0" applyFont="1" applyFill="1" applyAlignment="1">
      <alignment wrapText="1"/>
    </xf>
    <xf numFmtId="0" fontId="66" fillId="0" borderId="0" xfId="1" applyFont="1" applyFill="1" applyAlignment="1" applyProtection="1">
      <alignment horizontal="left" vertical="top" indent="1"/>
    </xf>
    <xf numFmtId="0" fontId="32" fillId="0" borderId="0" xfId="0" applyFont="1" applyFill="1" applyBorder="1" applyAlignment="1">
      <alignment horizontal="left" vertical="top" wrapText="1"/>
    </xf>
    <xf numFmtId="0" fontId="32" fillId="0" borderId="0" xfId="0" applyFont="1" applyFill="1" applyBorder="1" applyAlignment="1">
      <alignment wrapText="1"/>
    </xf>
    <xf numFmtId="0" fontId="11" fillId="0" borderId="0" xfId="0" applyFont="1" applyFill="1" applyAlignment="1">
      <alignment horizontal="left" vertical="top"/>
    </xf>
    <xf numFmtId="0" fontId="38" fillId="0" borderId="0" xfId="0" applyFont="1" applyFill="1" applyAlignment="1">
      <alignment horizontal="left" vertical="top"/>
    </xf>
    <xf numFmtId="0" fontId="21" fillId="2" borderId="29" xfId="0" quotePrefix="1" applyFont="1" applyFill="1" applyBorder="1" applyAlignment="1">
      <alignment horizontal="center" vertical="center" wrapText="1"/>
    </xf>
    <xf numFmtId="0" fontId="21" fillId="2" borderId="30" xfId="0" applyFont="1" applyFill="1" applyBorder="1" applyAlignment="1">
      <alignment vertical="center"/>
    </xf>
    <xf numFmtId="3" fontId="21" fillId="2" borderId="30" xfId="0" applyNumberFormat="1" applyFont="1" applyFill="1" applyBorder="1" applyAlignment="1">
      <alignment horizontal="right" vertical="center"/>
    </xf>
    <xf numFmtId="3" fontId="21" fillId="2" borderId="30" xfId="0" applyNumberFormat="1" applyFont="1" applyFill="1" applyBorder="1" applyAlignment="1">
      <alignment horizontal="right"/>
    </xf>
    <xf numFmtId="0" fontId="21" fillId="2" borderId="30" xfId="0" applyFont="1" applyFill="1" applyBorder="1" applyAlignment="1">
      <alignment horizontal="right" vertical="center"/>
    </xf>
    <xf numFmtId="164" fontId="21" fillId="2" borderId="30" xfId="0" applyNumberFormat="1" applyFont="1" applyFill="1" applyBorder="1" applyAlignment="1">
      <alignment horizontal="right" vertical="center"/>
    </xf>
    <xf numFmtId="164" fontId="21" fillId="2" borderId="30" xfId="0" applyNumberFormat="1" applyFont="1" applyFill="1" applyBorder="1" applyAlignment="1">
      <alignment horizontal="right"/>
    </xf>
    <xf numFmtId="164" fontId="21" fillId="2" borderId="31" xfId="0" applyNumberFormat="1" applyFont="1" applyFill="1" applyBorder="1" applyAlignment="1">
      <alignment horizontal="right" vertical="center"/>
    </xf>
    <xf numFmtId="0" fontId="21" fillId="2" borderId="32" xfId="0" applyFont="1" applyFill="1" applyBorder="1" applyAlignment="1">
      <alignment vertical="center"/>
    </xf>
    <xf numFmtId="3" fontId="21" fillId="2" borderId="33" xfId="0" quotePrefix="1" applyNumberFormat="1" applyFont="1" applyFill="1" applyBorder="1" applyAlignment="1">
      <alignment horizontal="right" indent="2"/>
    </xf>
    <xf numFmtId="164" fontId="21" fillId="2" borderId="33" xfId="0" quotePrefix="1" applyNumberFormat="1" applyFont="1" applyFill="1" applyBorder="1" applyAlignment="1">
      <alignment horizontal="right" indent="2"/>
    </xf>
    <xf numFmtId="0" fontId="21" fillId="2" borderId="33" xfId="0" quotePrefix="1" applyNumberFormat="1" applyFont="1" applyFill="1" applyBorder="1" applyAlignment="1">
      <alignment horizontal="left" indent="2"/>
    </xf>
    <xf numFmtId="0" fontId="21" fillId="2" borderId="33" xfId="0" quotePrefix="1" applyNumberFormat="1" applyFont="1" applyFill="1" applyBorder="1" applyAlignment="1">
      <alignment horizontal="right" indent="2"/>
    </xf>
    <xf numFmtId="0" fontId="4" fillId="3" borderId="2" xfId="0" applyFont="1" applyFill="1" applyBorder="1" applyProtection="1">
      <protection locked="0"/>
    </xf>
    <xf numFmtId="0" fontId="4" fillId="3" borderId="2" xfId="0" applyFont="1" applyFill="1" applyBorder="1" applyAlignment="1" applyProtection="1">
      <alignment horizontal="left" vertical="top"/>
      <protection locked="0"/>
    </xf>
    <xf numFmtId="0" fontId="21" fillId="3" borderId="2" xfId="0" applyFont="1" applyFill="1" applyBorder="1" applyAlignment="1" applyProtection="1">
      <alignment horizontal="center"/>
      <protection locked="0"/>
    </xf>
    <xf numFmtId="0" fontId="21" fillId="3" borderId="2" xfId="0" applyFont="1" applyFill="1" applyBorder="1" applyAlignment="1" applyProtection="1">
      <protection locked="0"/>
    </xf>
    <xf numFmtId="0" fontId="33" fillId="2" borderId="0" xfId="0" applyFont="1" applyFill="1" applyProtection="1">
      <protection locked="0"/>
    </xf>
    <xf numFmtId="0" fontId="17" fillId="2" borderId="0" xfId="0" applyFont="1" applyFill="1" applyProtection="1">
      <protection locked="0"/>
    </xf>
    <xf numFmtId="0" fontId="38" fillId="0" borderId="0" xfId="0" applyFont="1" applyAlignment="1">
      <alignment vertical="top" wrapText="1"/>
    </xf>
    <xf numFmtId="0" fontId="38" fillId="2" borderId="0" xfId="0" applyFont="1" applyFill="1" applyAlignment="1">
      <alignment vertical="top" wrapText="1"/>
    </xf>
    <xf numFmtId="0" fontId="33" fillId="0" borderId="0" xfId="0" applyFont="1" applyProtection="1">
      <protection locked="0"/>
    </xf>
    <xf numFmtId="0" fontId="7" fillId="0" borderId="0" xfId="0" applyFont="1" applyAlignment="1">
      <alignment wrapText="1"/>
    </xf>
    <xf numFmtId="0" fontId="63" fillId="0" borderId="0" xfId="0" applyFont="1" applyBorder="1" applyAlignment="1">
      <alignment horizontal="left" vertical="top" wrapText="1"/>
    </xf>
    <xf numFmtId="0" fontId="0" fillId="0" borderId="0" xfId="0" applyAlignment="1">
      <alignment wrapText="1"/>
    </xf>
    <xf numFmtId="0" fontId="67" fillId="0" borderId="0" xfId="0" applyFont="1" applyAlignment="1">
      <alignment wrapText="1"/>
    </xf>
    <xf numFmtId="0" fontId="19" fillId="0" borderId="0" xfId="0" applyFont="1" applyAlignment="1">
      <alignment horizontal="left" vertical="top" wrapText="1"/>
    </xf>
    <xf numFmtId="0" fontId="4" fillId="0" borderId="4" xfId="0" applyFont="1" applyBorder="1" applyAlignment="1">
      <alignment horizontal="center"/>
    </xf>
    <xf numFmtId="0" fontId="21" fillId="2" borderId="0" xfId="0" applyFont="1" applyFill="1" applyAlignment="1">
      <alignment vertical="top" wrapText="1"/>
    </xf>
    <xf numFmtId="0" fontId="38" fillId="0" borderId="0" xfId="0" applyFont="1" applyAlignment="1">
      <alignment vertical="top" wrapText="1"/>
    </xf>
    <xf numFmtId="0" fontId="38" fillId="2" borderId="0" xfId="0" applyFont="1" applyFill="1" applyAlignment="1">
      <alignment vertical="top" wrapText="1"/>
    </xf>
    <xf numFmtId="0" fontId="41" fillId="2" borderId="0" xfId="0" applyFont="1" applyFill="1" applyAlignment="1">
      <alignment vertical="top" wrapText="1"/>
    </xf>
    <xf numFmtId="0" fontId="41" fillId="0" borderId="0" xfId="0" applyFont="1" applyAlignment="1">
      <alignment vertical="top" wrapText="1"/>
    </xf>
    <xf numFmtId="0" fontId="0" fillId="0" borderId="0" xfId="0" applyAlignment="1">
      <alignment vertical="top" wrapText="1"/>
    </xf>
    <xf numFmtId="0" fontId="21" fillId="0" borderId="0" xfId="0" applyFont="1" applyAlignment="1">
      <alignment vertical="top" wrapText="1"/>
    </xf>
    <xf numFmtId="0" fontId="19" fillId="2" borderId="0" xfId="0" applyFont="1" applyFill="1" applyAlignment="1">
      <alignment horizontal="left" vertical="top" wrapText="1"/>
    </xf>
    <xf numFmtId="0" fontId="4" fillId="2" borderId="4" xfId="0" applyFont="1" applyFill="1" applyBorder="1" applyAlignment="1">
      <alignment horizontal="center"/>
    </xf>
    <xf numFmtId="0" fontId="22" fillId="0" borderId="4" xfId="0" applyFont="1" applyBorder="1" applyAlignment="1">
      <alignment horizontal="center" vertical="center" wrapText="1"/>
    </xf>
    <xf numFmtId="0" fontId="10" fillId="2" borderId="0" xfId="0" applyFont="1" applyFill="1" applyAlignment="1">
      <alignment horizontal="left" wrapText="1"/>
    </xf>
    <xf numFmtId="0" fontId="19" fillId="0" borderId="0" xfId="0" applyFont="1" applyAlignment="1">
      <alignment horizontal="left"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19" fillId="2" borderId="0" xfId="0" applyFont="1" applyFill="1" applyAlignment="1">
      <alignment horizontal="left" wrapText="1"/>
    </xf>
    <xf numFmtId="0" fontId="22" fillId="2" borderId="2"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1" fillId="3" borderId="4" xfId="0" applyFont="1" applyFill="1" applyBorder="1" applyAlignment="1">
      <alignment horizontal="center"/>
    </xf>
    <xf numFmtId="0" fontId="21" fillId="3" borderId="2" xfId="0" applyFont="1" applyFill="1" applyBorder="1" applyAlignment="1">
      <alignment horizontal="center"/>
    </xf>
    <xf numFmtId="0" fontId="21" fillId="2" borderId="0" xfId="0" applyFont="1" applyFill="1" applyAlignment="1">
      <alignment horizontal="left" vertical="top" wrapText="1"/>
    </xf>
    <xf numFmtId="0" fontId="0" fillId="0" borderId="0" xfId="0" applyAlignment="1">
      <alignment horizontal="left" vertical="top" wrapText="1"/>
    </xf>
    <xf numFmtId="0" fontId="21" fillId="3" borderId="4" xfId="0" applyFont="1" applyFill="1" applyBorder="1" applyAlignment="1" applyProtection="1">
      <alignment horizontal="center"/>
      <protection locked="0"/>
    </xf>
    <xf numFmtId="0" fontId="21" fillId="3" borderId="2" xfId="0" applyFont="1" applyFill="1" applyBorder="1" applyAlignment="1" applyProtection="1">
      <alignment horizontal="center"/>
      <protection locked="0"/>
    </xf>
    <xf numFmtId="0" fontId="22" fillId="0" borderId="6" xfId="0" applyNumberFormat="1" applyFont="1" applyBorder="1" applyAlignment="1">
      <alignment horizontal="center" vertical="center" wrapText="1"/>
    </xf>
    <xf numFmtId="0" fontId="39" fillId="0" borderId="5" xfId="0" applyNumberFormat="1" applyFont="1" applyBorder="1" applyAlignment="1">
      <alignment horizontal="center"/>
    </xf>
    <xf numFmtId="0" fontId="40" fillId="0" borderId="0" xfId="0" applyNumberFormat="1" applyFont="1" applyAlignment="1">
      <alignment horizontal="center" vertical="center" textRotation="90"/>
    </xf>
    <xf numFmtId="0" fontId="22" fillId="0" borderId="7" xfId="0" applyNumberFormat="1" applyFont="1" applyBorder="1" applyAlignment="1">
      <alignment horizontal="center" vertical="center" wrapText="1"/>
    </xf>
    <xf numFmtId="0" fontId="22" fillId="0" borderId="27" xfId="0" applyNumberFormat="1" applyFont="1" applyBorder="1" applyAlignment="1">
      <alignment horizontal="center" vertical="center" wrapText="1"/>
    </xf>
    <xf numFmtId="0" fontId="22" fillId="0" borderId="28" xfId="0" applyNumberFormat="1" applyFont="1" applyBorder="1" applyAlignment="1">
      <alignment horizontal="center" vertical="center" wrapText="1"/>
    </xf>
    <xf numFmtId="0" fontId="38" fillId="0" borderId="0" xfId="0" applyFont="1" applyAlignment="1">
      <alignment horizontal="left" vertical="top" wrapText="1"/>
    </xf>
    <xf numFmtId="0" fontId="21" fillId="0" borderId="0" xfId="0" applyFont="1" applyFill="1" applyBorder="1" applyAlignment="1">
      <alignment horizontal="left" wrapText="1"/>
    </xf>
    <xf numFmtId="0" fontId="38" fillId="0" borderId="0" xfId="0" applyFont="1" applyAlignment="1">
      <alignment horizontal="left" wrapText="1"/>
    </xf>
    <xf numFmtId="0" fontId="21" fillId="0" borderId="0" xfId="0" applyFont="1" applyFill="1" applyAlignment="1">
      <alignment horizontal="left" wrapText="1"/>
    </xf>
    <xf numFmtId="0" fontId="0" fillId="0" borderId="0" xfId="0" applyAlignment="1">
      <alignment horizontal="left" wrapText="1"/>
    </xf>
    <xf numFmtId="0" fontId="38" fillId="0" borderId="0" xfId="0" applyFont="1" applyFill="1" applyAlignment="1">
      <alignment horizontal="left" vertical="top" wrapText="1"/>
    </xf>
    <xf numFmtId="0" fontId="38" fillId="0" borderId="0" xfId="0" applyFont="1" applyFill="1" applyBorder="1" applyAlignment="1">
      <alignment horizontal="left" vertical="top" wrapText="1"/>
    </xf>
    <xf numFmtId="0" fontId="38" fillId="0" borderId="0" xfId="3" applyFont="1" applyFill="1" applyAlignment="1">
      <alignment horizontal="left" vertical="top" wrapText="1"/>
    </xf>
    <xf numFmtId="0" fontId="21" fillId="2" borderId="0" xfId="0" applyFont="1" applyFill="1" applyAlignment="1">
      <alignment wrapText="1"/>
    </xf>
  </cellXfs>
  <cellStyles count="5283">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Calculation 10" xfId="123"/>
    <cellStyle name="Calculation 10 10" xfId="645"/>
    <cellStyle name="Calculation 10 10 2" xfId="1689"/>
    <cellStyle name="Calculation 10 10 3" xfId="2731"/>
    <cellStyle name="Calculation 10 10 4" xfId="3773"/>
    <cellStyle name="Calculation 10 10 5" xfId="4815"/>
    <cellStyle name="Calculation 10 11" xfId="433"/>
    <cellStyle name="Calculation 10 11 2" xfId="1478"/>
    <cellStyle name="Calculation 10 11 3" xfId="2520"/>
    <cellStyle name="Calculation 10 11 4" xfId="3562"/>
    <cellStyle name="Calculation 10 11 5" xfId="4604"/>
    <cellStyle name="Calculation 10 12" xfId="1102"/>
    <cellStyle name="Calculation 10 12 2" xfId="2146"/>
    <cellStyle name="Calculation 10 12 3" xfId="3188"/>
    <cellStyle name="Calculation 10 12 4" xfId="4230"/>
    <cellStyle name="Calculation 10 12 5" xfId="5272"/>
    <cellStyle name="Calculation 10 13" xfId="1168"/>
    <cellStyle name="Calculation 10 14" xfId="2210"/>
    <cellStyle name="Calculation 10 15" xfId="3252"/>
    <cellStyle name="Calculation 10 16" xfId="4294"/>
    <cellStyle name="Calculation 10 2" xfId="203"/>
    <cellStyle name="Calculation 10 2 2" xfId="725"/>
    <cellStyle name="Calculation 10 2 2 2" xfId="1769"/>
    <cellStyle name="Calculation 10 2 2 3" xfId="2811"/>
    <cellStyle name="Calculation 10 2 2 4" xfId="3853"/>
    <cellStyle name="Calculation 10 2 2 5" xfId="4895"/>
    <cellStyle name="Calculation 10 2 3" xfId="1248"/>
    <cellStyle name="Calculation 10 2 4" xfId="2290"/>
    <cellStyle name="Calculation 10 2 5" xfId="3332"/>
    <cellStyle name="Calculation 10 2 6" xfId="4374"/>
    <cellStyle name="Calculation 10 3" xfId="227"/>
    <cellStyle name="Calculation 10 3 2" xfId="749"/>
    <cellStyle name="Calculation 10 3 2 2" xfId="1793"/>
    <cellStyle name="Calculation 10 3 2 3" xfId="2835"/>
    <cellStyle name="Calculation 10 3 2 4" xfId="3877"/>
    <cellStyle name="Calculation 10 3 2 5" xfId="4919"/>
    <cellStyle name="Calculation 10 3 3" xfId="1272"/>
    <cellStyle name="Calculation 10 3 4" xfId="2314"/>
    <cellStyle name="Calculation 10 3 5" xfId="3356"/>
    <cellStyle name="Calculation 10 3 6" xfId="4398"/>
    <cellStyle name="Calculation 10 4" xfId="290"/>
    <cellStyle name="Calculation 10 4 2" xfId="812"/>
    <cellStyle name="Calculation 10 4 2 2" xfId="1856"/>
    <cellStyle name="Calculation 10 4 2 3" xfId="2898"/>
    <cellStyle name="Calculation 10 4 2 4" xfId="3940"/>
    <cellStyle name="Calculation 10 4 2 5" xfId="4982"/>
    <cellStyle name="Calculation 10 4 3" xfId="1335"/>
    <cellStyle name="Calculation 10 4 4" xfId="2377"/>
    <cellStyle name="Calculation 10 4 5" xfId="3419"/>
    <cellStyle name="Calculation 10 4 6" xfId="4461"/>
    <cellStyle name="Calculation 10 5" xfId="306"/>
    <cellStyle name="Calculation 10 5 2" xfId="828"/>
    <cellStyle name="Calculation 10 5 2 2" xfId="1872"/>
    <cellStyle name="Calculation 10 5 2 3" xfId="2914"/>
    <cellStyle name="Calculation 10 5 2 4" xfId="3956"/>
    <cellStyle name="Calculation 10 5 2 5" xfId="4998"/>
    <cellStyle name="Calculation 10 5 3" xfId="1351"/>
    <cellStyle name="Calculation 10 5 4" xfId="2393"/>
    <cellStyle name="Calculation 10 5 5" xfId="3435"/>
    <cellStyle name="Calculation 10 5 6" xfId="4477"/>
    <cellStyle name="Calculation 10 6" xfId="422"/>
    <cellStyle name="Calculation 10 6 2" xfId="928"/>
    <cellStyle name="Calculation 10 6 2 2" xfId="1972"/>
    <cellStyle name="Calculation 10 6 2 3" xfId="3014"/>
    <cellStyle name="Calculation 10 6 2 4" xfId="4056"/>
    <cellStyle name="Calculation 10 6 2 5" xfId="5098"/>
    <cellStyle name="Calculation 10 6 3" xfId="1467"/>
    <cellStyle name="Calculation 10 6 4" xfId="2509"/>
    <cellStyle name="Calculation 10 6 5" xfId="3551"/>
    <cellStyle name="Calculation 10 6 6" xfId="4593"/>
    <cellStyle name="Calculation 10 7" xfId="364"/>
    <cellStyle name="Calculation 10 7 2" xfId="881"/>
    <cellStyle name="Calculation 10 7 2 2" xfId="1925"/>
    <cellStyle name="Calculation 10 7 2 3" xfId="2967"/>
    <cellStyle name="Calculation 10 7 2 4" xfId="4009"/>
    <cellStyle name="Calculation 10 7 2 5" xfId="5051"/>
    <cellStyle name="Calculation 10 7 3" xfId="1409"/>
    <cellStyle name="Calculation 10 7 4" xfId="2451"/>
    <cellStyle name="Calculation 10 7 5" xfId="3493"/>
    <cellStyle name="Calculation 10 7 6" xfId="4535"/>
    <cellStyle name="Calculation 10 8" xfId="522"/>
    <cellStyle name="Calculation 10 8 2" xfId="1012"/>
    <cellStyle name="Calculation 10 8 2 2" xfId="2056"/>
    <cellStyle name="Calculation 10 8 2 3" xfId="3098"/>
    <cellStyle name="Calculation 10 8 2 4" xfId="4140"/>
    <cellStyle name="Calculation 10 8 2 5" xfId="5182"/>
    <cellStyle name="Calculation 10 8 3" xfId="1566"/>
    <cellStyle name="Calculation 10 8 4" xfId="2608"/>
    <cellStyle name="Calculation 10 8 5" xfId="3650"/>
    <cellStyle name="Calculation 10 8 6" xfId="4692"/>
    <cellStyle name="Calculation 10 9" xfId="548"/>
    <cellStyle name="Calculation 10 9 2" xfId="1031"/>
    <cellStyle name="Calculation 10 9 2 2" xfId="2075"/>
    <cellStyle name="Calculation 10 9 2 3" xfId="3117"/>
    <cellStyle name="Calculation 10 9 2 4" xfId="4159"/>
    <cellStyle name="Calculation 10 9 2 5" xfId="5201"/>
    <cellStyle name="Calculation 10 9 3" xfId="1592"/>
    <cellStyle name="Calculation 10 9 4" xfId="2634"/>
    <cellStyle name="Calculation 10 9 5" xfId="3676"/>
    <cellStyle name="Calculation 10 9 6" xfId="4718"/>
    <cellStyle name="Calculation 11" xfId="156"/>
    <cellStyle name="Calculation 11 10" xfId="586"/>
    <cellStyle name="Calculation 11 10 2" xfId="1630"/>
    <cellStyle name="Calculation 11 10 3" xfId="2672"/>
    <cellStyle name="Calculation 11 10 4" xfId="3714"/>
    <cellStyle name="Calculation 11 10 5" xfId="4756"/>
    <cellStyle name="Calculation 11 11" xfId="1052"/>
    <cellStyle name="Calculation 11 11 2" xfId="2096"/>
    <cellStyle name="Calculation 11 11 3" xfId="3138"/>
    <cellStyle name="Calculation 11 11 4" xfId="4180"/>
    <cellStyle name="Calculation 11 11 5" xfId="5222"/>
    <cellStyle name="Calculation 11 12" xfId="1201"/>
    <cellStyle name="Calculation 11 13" xfId="2243"/>
    <cellStyle name="Calculation 11 14" xfId="3285"/>
    <cellStyle name="Calculation 11 15" xfId="4327"/>
    <cellStyle name="Calculation 11 2" xfId="246"/>
    <cellStyle name="Calculation 11 2 2" xfId="768"/>
    <cellStyle name="Calculation 11 2 2 2" xfId="1812"/>
    <cellStyle name="Calculation 11 2 2 3" xfId="2854"/>
    <cellStyle name="Calculation 11 2 2 4" xfId="3896"/>
    <cellStyle name="Calculation 11 2 2 5" xfId="4938"/>
    <cellStyle name="Calculation 11 2 3" xfId="1291"/>
    <cellStyle name="Calculation 11 2 4" xfId="2333"/>
    <cellStyle name="Calculation 11 2 5" xfId="3375"/>
    <cellStyle name="Calculation 11 2 6" xfId="4417"/>
    <cellStyle name="Calculation 11 3" xfId="135"/>
    <cellStyle name="Calculation 11 3 2" xfId="657"/>
    <cellStyle name="Calculation 11 3 2 2" xfId="1701"/>
    <cellStyle name="Calculation 11 3 2 3" xfId="2743"/>
    <cellStyle name="Calculation 11 3 2 4" xfId="3785"/>
    <cellStyle name="Calculation 11 3 2 5" xfId="4827"/>
    <cellStyle name="Calculation 11 3 3" xfId="1180"/>
    <cellStyle name="Calculation 11 3 4" xfId="2222"/>
    <cellStyle name="Calculation 11 3 5" xfId="3264"/>
    <cellStyle name="Calculation 11 3 6" xfId="4306"/>
    <cellStyle name="Calculation 11 4" xfId="323"/>
    <cellStyle name="Calculation 11 4 2" xfId="845"/>
    <cellStyle name="Calculation 11 4 2 2" xfId="1889"/>
    <cellStyle name="Calculation 11 4 2 3" xfId="2931"/>
    <cellStyle name="Calculation 11 4 2 4" xfId="3973"/>
    <cellStyle name="Calculation 11 4 2 5" xfId="5015"/>
    <cellStyle name="Calculation 11 4 3" xfId="1368"/>
    <cellStyle name="Calculation 11 4 4" xfId="2410"/>
    <cellStyle name="Calculation 11 4 5" xfId="3452"/>
    <cellStyle name="Calculation 11 4 6" xfId="4494"/>
    <cellStyle name="Calculation 11 5" xfId="372"/>
    <cellStyle name="Calculation 11 5 2" xfId="885"/>
    <cellStyle name="Calculation 11 5 2 2" xfId="1929"/>
    <cellStyle name="Calculation 11 5 2 3" xfId="2971"/>
    <cellStyle name="Calculation 11 5 2 4" xfId="4013"/>
    <cellStyle name="Calculation 11 5 2 5" xfId="5055"/>
    <cellStyle name="Calculation 11 5 3" xfId="1417"/>
    <cellStyle name="Calculation 11 5 4" xfId="2459"/>
    <cellStyle name="Calculation 11 5 5" xfId="3501"/>
    <cellStyle name="Calculation 11 5 6" xfId="4543"/>
    <cellStyle name="Calculation 11 6" xfId="466"/>
    <cellStyle name="Calculation 11 6 2" xfId="958"/>
    <cellStyle name="Calculation 11 6 2 2" xfId="2002"/>
    <cellStyle name="Calculation 11 6 2 3" xfId="3044"/>
    <cellStyle name="Calculation 11 6 2 4" xfId="4086"/>
    <cellStyle name="Calculation 11 6 2 5" xfId="5128"/>
    <cellStyle name="Calculation 11 6 3" xfId="1510"/>
    <cellStyle name="Calculation 11 6 4" xfId="2552"/>
    <cellStyle name="Calculation 11 6 5" xfId="3594"/>
    <cellStyle name="Calculation 11 6 6" xfId="4636"/>
    <cellStyle name="Calculation 11 7" xfId="454"/>
    <cellStyle name="Calculation 11 7 2" xfId="949"/>
    <cellStyle name="Calculation 11 7 2 2" xfId="1993"/>
    <cellStyle name="Calculation 11 7 2 3" xfId="3035"/>
    <cellStyle name="Calculation 11 7 2 4" xfId="4077"/>
    <cellStyle name="Calculation 11 7 2 5" xfId="5119"/>
    <cellStyle name="Calculation 11 7 3" xfId="1498"/>
    <cellStyle name="Calculation 11 7 4" xfId="2540"/>
    <cellStyle name="Calculation 11 7 5" xfId="3582"/>
    <cellStyle name="Calculation 11 7 6" xfId="4624"/>
    <cellStyle name="Calculation 11 8" xfId="520"/>
    <cellStyle name="Calculation 11 8 2" xfId="1010"/>
    <cellStyle name="Calculation 11 8 2 2" xfId="2054"/>
    <cellStyle name="Calculation 11 8 2 3" xfId="3096"/>
    <cellStyle name="Calculation 11 8 2 4" xfId="4138"/>
    <cellStyle name="Calculation 11 8 2 5" xfId="5180"/>
    <cellStyle name="Calculation 11 8 3" xfId="1564"/>
    <cellStyle name="Calculation 11 8 4" xfId="2606"/>
    <cellStyle name="Calculation 11 8 5" xfId="3648"/>
    <cellStyle name="Calculation 11 8 6" xfId="4690"/>
    <cellStyle name="Calculation 11 9" xfId="678"/>
    <cellStyle name="Calculation 11 9 2" xfId="1722"/>
    <cellStyle name="Calculation 11 9 3" xfId="2764"/>
    <cellStyle name="Calculation 11 9 4" xfId="3806"/>
    <cellStyle name="Calculation 11 9 5" xfId="4848"/>
    <cellStyle name="Calculation 12" xfId="105"/>
    <cellStyle name="Calculation 12 2" xfId="626"/>
    <cellStyle name="Calculation 12 2 2" xfId="1670"/>
    <cellStyle name="Calculation 12 2 3" xfId="2712"/>
    <cellStyle name="Calculation 12 2 4" xfId="3754"/>
    <cellStyle name="Calculation 12 2 5" xfId="4796"/>
    <cellStyle name="Calculation 12 3" xfId="1149"/>
    <cellStyle name="Calculation 12 4" xfId="2191"/>
    <cellStyle name="Calculation 12 5" xfId="3233"/>
    <cellStyle name="Calculation 12 6" xfId="4275"/>
    <cellStyle name="Calculation 13" xfId="46"/>
    <cellStyle name="Calculation 2" xfId="76"/>
    <cellStyle name="Calculation 2 10" xfId="597"/>
    <cellStyle name="Calculation 2 10 2" xfId="1641"/>
    <cellStyle name="Calculation 2 10 3" xfId="2683"/>
    <cellStyle name="Calculation 2 10 4" xfId="3725"/>
    <cellStyle name="Calculation 2 10 5" xfId="4767"/>
    <cellStyle name="Calculation 2 11" xfId="443"/>
    <cellStyle name="Calculation 2 11 2" xfId="1487"/>
    <cellStyle name="Calculation 2 11 3" xfId="2529"/>
    <cellStyle name="Calculation 2 11 4" xfId="3571"/>
    <cellStyle name="Calculation 2 11 5" xfId="4613"/>
    <cellStyle name="Calculation 2 12" xfId="1066"/>
    <cellStyle name="Calculation 2 12 2" xfId="2110"/>
    <cellStyle name="Calculation 2 12 3" xfId="3152"/>
    <cellStyle name="Calculation 2 12 4" xfId="4194"/>
    <cellStyle name="Calculation 2 12 5" xfId="5236"/>
    <cellStyle name="Calculation 2 13" xfId="1120"/>
    <cellStyle name="Calculation 2 14" xfId="2162"/>
    <cellStyle name="Calculation 2 15" xfId="3204"/>
    <cellStyle name="Calculation 2 16" xfId="4246"/>
    <cellStyle name="Calculation 2 2" xfId="171"/>
    <cellStyle name="Calculation 2 2 2" xfId="692"/>
    <cellStyle name="Calculation 2 2 2 2" xfId="1736"/>
    <cellStyle name="Calculation 2 2 2 3" xfId="2778"/>
    <cellStyle name="Calculation 2 2 2 4" xfId="3820"/>
    <cellStyle name="Calculation 2 2 2 5" xfId="4862"/>
    <cellStyle name="Calculation 2 2 3" xfId="1215"/>
    <cellStyle name="Calculation 2 2 4" xfId="2257"/>
    <cellStyle name="Calculation 2 2 5" xfId="3299"/>
    <cellStyle name="Calculation 2 2 6" xfId="4341"/>
    <cellStyle name="Calculation 2 3" xfId="222"/>
    <cellStyle name="Calculation 2 3 2" xfId="744"/>
    <cellStyle name="Calculation 2 3 2 2" xfId="1788"/>
    <cellStyle name="Calculation 2 3 2 3" xfId="2830"/>
    <cellStyle name="Calculation 2 3 2 4" xfId="3872"/>
    <cellStyle name="Calculation 2 3 2 5" xfId="4914"/>
    <cellStyle name="Calculation 2 3 3" xfId="1267"/>
    <cellStyle name="Calculation 2 3 4" xfId="2309"/>
    <cellStyle name="Calculation 2 3 5" xfId="3351"/>
    <cellStyle name="Calculation 2 3 6" xfId="4393"/>
    <cellStyle name="Calculation 2 4" xfId="259"/>
    <cellStyle name="Calculation 2 4 2" xfId="781"/>
    <cellStyle name="Calculation 2 4 2 2" xfId="1825"/>
    <cellStyle name="Calculation 2 4 2 3" xfId="2867"/>
    <cellStyle name="Calculation 2 4 2 4" xfId="3909"/>
    <cellStyle name="Calculation 2 4 2 5" xfId="4951"/>
    <cellStyle name="Calculation 2 4 3" xfId="1304"/>
    <cellStyle name="Calculation 2 4 4" xfId="2346"/>
    <cellStyle name="Calculation 2 4 5" xfId="3388"/>
    <cellStyle name="Calculation 2 4 6" xfId="4430"/>
    <cellStyle name="Calculation 2 5" xfId="301"/>
    <cellStyle name="Calculation 2 5 2" xfId="823"/>
    <cellStyle name="Calculation 2 5 2 2" xfId="1867"/>
    <cellStyle name="Calculation 2 5 2 3" xfId="2909"/>
    <cellStyle name="Calculation 2 5 2 4" xfId="3951"/>
    <cellStyle name="Calculation 2 5 2 5" xfId="4993"/>
    <cellStyle name="Calculation 2 5 3" xfId="1346"/>
    <cellStyle name="Calculation 2 5 4" xfId="2388"/>
    <cellStyle name="Calculation 2 5 5" xfId="3430"/>
    <cellStyle name="Calculation 2 5 6" xfId="4472"/>
    <cellStyle name="Calculation 2 6" xfId="386"/>
    <cellStyle name="Calculation 2 6 2" xfId="898"/>
    <cellStyle name="Calculation 2 6 2 2" xfId="1942"/>
    <cellStyle name="Calculation 2 6 2 3" xfId="2984"/>
    <cellStyle name="Calculation 2 6 2 4" xfId="4026"/>
    <cellStyle name="Calculation 2 6 2 5" xfId="5068"/>
    <cellStyle name="Calculation 2 6 3" xfId="1431"/>
    <cellStyle name="Calculation 2 6 4" xfId="2473"/>
    <cellStyle name="Calculation 2 6 5" xfId="3515"/>
    <cellStyle name="Calculation 2 6 6" xfId="4557"/>
    <cellStyle name="Calculation 2 7" xfId="341"/>
    <cellStyle name="Calculation 2 7 2" xfId="859"/>
    <cellStyle name="Calculation 2 7 2 2" xfId="1903"/>
    <cellStyle name="Calculation 2 7 2 3" xfId="2945"/>
    <cellStyle name="Calculation 2 7 2 4" xfId="3987"/>
    <cellStyle name="Calculation 2 7 2 5" xfId="5029"/>
    <cellStyle name="Calculation 2 7 3" xfId="1386"/>
    <cellStyle name="Calculation 2 7 4" xfId="2428"/>
    <cellStyle name="Calculation 2 7 5" xfId="3470"/>
    <cellStyle name="Calculation 2 7 6" xfId="4512"/>
    <cellStyle name="Calculation 2 8" xfId="488"/>
    <cellStyle name="Calculation 2 8 2" xfId="978"/>
    <cellStyle name="Calculation 2 8 2 2" xfId="2022"/>
    <cellStyle name="Calculation 2 8 2 3" xfId="3064"/>
    <cellStyle name="Calculation 2 8 2 4" xfId="4106"/>
    <cellStyle name="Calculation 2 8 2 5" xfId="5148"/>
    <cellStyle name="Calculation 2 8 3" xfId="1532"/>
    <cellStyle name="Calculation 2 8 4" xfId="2574"/>
    <cellStyle name="Calculation 2 8 5" xfId="3616"/>
    <cellStyle name="Calculation 2 8 6" xfId="4658"/>
    <cellStyle name="Calculation 2 9" xfId="551"/>
    <cellStyle name="Calculation 2 9 2" xfId="1033"/>
    <cellStyle name="Calculation 2 9 2 2" xfId="2077"/>
    <cellStyle name="Calculation 2 9 2 3" xfId="3119"/>
    <cellStyle name="Calculation 2 9 2 4" xfId="4161"/>
    <cellStyle name="Calculation 2 9 2 5" xfId="5203"/>
    <cellStyle name="Calculation 2 9 3" xfId="1595"/>
    <cellStyle name="Calculation 2 9 4" xfId="2637"/>
    <cellStyle name="Calculation 2 9 5" xfId="3679"/>
    <cellStyle name="Calculation 2 9 6" xfId="4721"/>
    <cellStyle name="Calculation 3" xfId="72"/>
    <cellStyle name="Calculation 3 10" xfId="593"/>
    <cellStyle name="Calculation 3 10 2" xfId="1637"/>
    <cellStyle name="Calculation 3 10 3" xfId="2679"/>
    <cellStyle name="Calculation 3 10 4" xfId="3721"/>
    <cellStyle name="Calculation 3 10 5" xfId="4763"/>
    <cellStyle name="Calculation 3 11" xfId="464"/>
    <cellStyle name="Calculation 3 11 2" xfId="1508"/>
    <cellStyle name="Calculation 3 11 3" xfId="2550"/>
    <cellStyle name="Calculation 3 11 4" xfId="3592"/>
    <cellStyle name="Calculation 3 11 5" xfId="4634"/>
    <cellStyle name="Calculation 3 12" xfId="1062"/>
    <cellStyle name="Calculation 3 12 2" xfId="2106"/>
    <cellStyle name="Calculation 3 12 3" xfId="3148"/>
    <cellStyle name="Calculation 3 12 4" xfId="4190"/>
    <cellStyle name="Calculation 3 12 5" xfId="5232"/>
    <cellStyle name="Calculation 3 13" xfId="1116"/>
    <cellStyle name="Calculation 3 14" xfId="2158"/>
    <cellStyle name="Calculation 3 15" xfId="3200"/>
    <cellStyle name="Calculation 3 16" xfId="4242"/>
    <cellStyle name="Calculation 3 2" xfId="167"/>
    <cellStyle name="Calculation 3 2 2" xfId="688"/>
    <cellStyle name="Calculation 3 2 2 2" xfId="1732"/>
    <cellStyle name="Calculation 3 2 2 3" xfId="2774"/>
    <cellStyle name="Calculation 3 2 2 4" xfId="3816"/>
    <cellStyle name="Calculation 3 2 2 5" xfId="4858"/>
    <cellStyle name="Calculation 3 2 3" xfId="1211"/>
    <cellStyle name="Calculation 3 2 4" xfId="2253"/>
    <cellStyle name="Calculation 3 2 5" xfId="3295"/>
    <cellStyle name="Calculation 3 2 6" xfId="4337"/>
    <cellStyle name="Calculation 3 3" xfId="211"/>
    <cellStyle name="Calculation 3 3 2" xfId="733"/>
    <cellStyle name="Calculation 3 3 2 2" xfId="1777"/>
    <cellStyle name="Calculation 3 3 2 3" xfId="2819"/>
    <cellStyle name="Calculation 3 3 2 4" xfId="3861"/>
    <cellStyle name="Calculation 3 3 2 5" xfId="4903"/>
    <cellStyle name="Calculation 3 3 3" xfId="1256"/>
    <cellStyle name="Calculation 3 3 4" xfId="2298"/>
    <cellStyle name="Calculation 3 3 5" xfId="3340"/>
    <cellStyle name="Calculation 3 3 6" xfId="4382"/>
    <cellStyle name="Calculation 3 4" xfId="255"/>
    <cellStyle name="Calculation 3 4 2" xfId="777"/>
    <cellStyle name="Calculation 3 4 2 2" xfId="1821"/>
    <cellStyle name="Calculation 3 4 2 3" xfId="2863"/>
    <cellStyle name="Calculation 3 4 2 4" xfId="3905"/>
    <cellStyle name="Calculation 3 4 2 5" xfId="4947"/>
    <cellStyle name="Calculation 3 4 3" xfId="1300"/>
    <cellStyle name="Calculation 3 4 4" xfId="2342"/>
    <cellStyle name="Calculation 3 4 5" xfId="3384"/>
    <cellStyle name="Calculation 3 4 6" xfId="4426"/>
    <cellStyle name="Calculation 3 5" xfId="215"/>
    <cellStyle name="Calculation 3 5 2" xfId="737"/>
    <cellStyle name="Calculation 3 5 2 2" xfId="1781"/>
    <cellStyle name="Calculation 3 5 2 3" xfId="2823"/>
    <cellStyle name="Calculation 3 5 2 4" xfId="3865"/>
    <cellStyle name="Calculation 3 5 2 5" xfId="4907"/>
    <cellStyle name="Calculation 3 5 3" xfId="1260"/>
    <cellStyle name="Calculation 3 5 4" xfId="2302"/>
    <cellStyle name="Calculation 3 5 5" xfId="3344"/>
    <cellStyle name="Calculation 3 5 6" xfId="4386"/>
    <cellStyle name="Calculation 3 6" xfId="382"/>
    <cellStyle name="Calculation 3 6 2" xfId="894"/>
    <cellStyle name="Calculation 3 6 2 2" xfId="1938"/>
    <cellStyle name="Calculation 3 6 2 3" xfId="2980"/>
    <cellStyle name="Calculation 3 6 2 4" xfId="4022"/>
    <cellStyle name="Calculation 3 6 2 5" xfId="5064"/>
    <cellStyle name="Calculation 3 6 3" xfId="1427"/>
    <cellStyle name="Calculation 3 6 4" xfId="2469"/>
    <cellStyle name="Calculation 3 6 5" xfId="3511"/>
    <cellStyle name="Calculation 3 6 6" xfId="4553"/>
    <cellStyle name="Calculation 3 7" xfId="337"/>
    <cellStyle name="Calculation 3 7 2" xfId="855"/>
    <cellStyle name="Calculation 3 7 2 2" xfId="1899"/>
    <cellStyle name="Calculation 3 7 2 3" xfId="2941"/>
    <cellStyle name="Calculation 3 7 2 4" xfId="3983"/>
    <cellStyle name="Calculation 3 7 2 5" xfId="5025"/>
    <cellStyle name="Calculation 3 7 3" xfId="1382"/>
    <cellStyle name="Calculation 3 7 4" xfId="2424"/>
    <cellStyle name="Calculation 3 7 5" xfId="3466"/>
    <cellStyle name="Calculation 3 7 6" xfId="4508"/>
    <cellStyle name="Calculation 3 8" xfId="484"/>
    <cellStyle name="Calculation 3 8 2" xfId="974"/>
    <cellStyle name="Calculation 3 8 2 2" xfId="2018"/>
    <cellStyle name="Calculation 3 8 2 3" xfId="3060"/>
    <cellStyle name="Calculation 3 8 2 4" xfId="4102"/>
    <cellStyle name="Calculation 3 8 2 5" xfId="5144"/>
    <cellStyle name="Calculation 3 8 3" xfId="1528"/>
    <cellStyle name="Calculation 3 8 4" xfId="2570"/>
    <cellStyle name="Calculation 3 8 5" xfId="3612"/>
    <cellStyle name="Calculation 3 8 6" xfId="4654"/>
    <cellStyle name="Calculation 3 9" xfId="539"/>
    <cellStyle name="Calculation 3 9 2" xfId="1026"/>
    <cellStyle name="Calculation 3 9 2 2" xfId="2070"/>
    <cellStyle name="Calculation 3 9 2 3" xfId="3112"/>
    <cellStyle name="Calculation 3 9 2 4" xfId="4154"/>
    <cellStyle name="Calculation 3 9 2 5" xfId="5196"/>
    <cellStyle name="Calculation 3 9 3" xfId="1583"/>
    <cellStyle name="Calculation 3 9 4" xfId="2625"/>
    <cellStyle name="Calculation 3 9 5" xfId="3667"/>
    <cellStyle name="Calculation 3 9 6" xfId="4709"/>
    <cellStyle name="Calculation 4" xfId="88"/>
    <cellStyle name="Calculation 4 10" xfId="609"/>
    <cellStyle name="Calculation 4 10 2" xfId="1653"/>
    <cellStyle name="Calculation 4 10 3" xfId="2695"/>
    <cellStyle name="Calculation 4 10 4" xfId="3737"/>
    <cellStyle name="Calculation 4 10 5" xfId="4779"/>
    <cellStyle name="Calculation 4 11" xfId="574"/>
    <cellStyle name="Calculation 4 11 2" xfId="1618"/>
    <cellStyle name="Calculation 4 11 3" xfId="2660"/>
    <cellStyle name="Calculation 4 11 4" xfId="3702"/>
    <cellStyle name="Calculation 4 11 5" xfId="4744"/>
    <cellStyle name="Calculation 4 12" xfId="1078"/>
    <cellStyle name="Calculation 4 12 2" xfId="2122"/>
    <cellStyle name="Calculation 4 12 3" xfId="3164"/>
    <cellStyle name="Calculation 4 12 4" xfId="4206"/>
    <cellStyle name="Calculation 4 12 5" xfId="5248"/>
    <cellStyle name="Calculation 4 13" xfId="1132"/>
    <cellStyle name="Calculation 4 14" xfId="2174"/>
    <cellStyle name="Calculation 4 15" xfId="3216"/>
    <cellStyle name="Calculation 4 16" xfId="4258"/>
    <cellStyle name="Calculation 4 2" xfId="182"/>
    <cellStyle name="Calculation 4 2 2" xfId="704"/>
    <cellStyle name="Calculation 4 2 2 2" xfId="1748"/>
    <cellStyle name="Calculation 4 2 2 3" xfId="2790"/>
    <cellStyle name="Calculation 4 2 2 4" xfId="3832"/>
    <cellStyle name="Calculation 4 2 2 5" xfId="4874"/>
    <cellStyle name="Calculation 4 2 3" xfId="1227"/>
    <cellStyle name="Calculation 4 2 4" xfId="2269"/>
    <cellStyle name="Calculation 4 2 5" xfId="3311"/>
    <cellStyle name="Calculation 4 2 6" xfId="4353"/>
    <cellStyle name="Calculation 4 3" xfId="229"/>
    <cellStyle name="Calculation 4 3 2" xfId="751"/>
    <cellStyle name="Calculation 4 3 2 2" xfId="1795"/>
    <cellStyle name="Calculation 4 3 2 3" xfId="2837"/>
    <cellStyle name="Calculation 4 3 2 4" xfId="3879"/>
    <cellStyle name="Calculation 4 3 2 5" xfId="4921"/>
    <cellStyle name="Calculation 4 3 3" xfId="1274"/>
    <cellStyle name="Calculation 4 3 4" xfId="2316"/>
    <cellStyle name="Calculation 4 3 5" xfId="3358"/>
    <cellStyle name="Calculation 4 3 6" xfId="4400"/>
    <cellStyle name="Calculation 4 4" xfId="268"/>
    <cellStyle name="Calculation 4 4 2" xfId="790"/>
    <cellStyle name="Calculation 4 4 2 2" xfId="1834"/>
    <cellStyle name="Calculation 4 4 2 3" xfId="2876"/>
    <cellStyle name="Calculation 4 4 2 4" xfId="3918"/>
    <cellStyle name="Calculation 4 4 2 5" xfId="4960"/>
    <cellStyle name="Calculation 4 4 3" xfId="1313"/>
    <cellStyle name="Calculation 4 4 4" xfId="2355"/>
    <cellStyle name="Calculation 4 4 5" xfId="3397"/>
    <cellStyle name="Calculation 4 4 6" xfId="4439"/>
    <cellStyle name="Calculation 4 5" xfId="308"/>
    <cellStyle name="Calculation 4 5 2" xfId="830"/>
    <cellStyle name="Calculation 4 5 2 2" xfId="1874"/>
    <cellStyle name="Calculation 4 5 2 3" xfId="2916"/>
    <cellStyle name="Calculation 4 5 2 4" xfId="3958"/>
    <cellStyle name="Calculation 4 5 2 5" xfId="5000"/>
    <cellStyle name="Calculation 4 5 3" xfId="1353"/>
    <cellStyle name="Calculation 4 5 4" xfId="2395"/>
    <cellStyle name="Calculation 4 5 5" xfId="3437"/>
    <cellStyle name="Calculation 4 5 6" xfId="4479"/>
    <cellStyle name="Calculation 4 6" xfId="398"/>
    <cellStyle name="Calculation 4 6 2" xfId="907"/>
    <cellStyle name="Calculation 4 6 2 2" xfId="1951"/>
    <cellStyle name="Calculation 4 6 2 3" xfId="2993"/>
    <cellStyle name="Calculation 4 6 2 4" xfId="4035"/>
    <cellStyle name="Calculation 4 6 2 5" xfId="5077"/>
    <cellStyle name="Calculation 4 6 3" xfId="1443"/>
    <cellStyle name="Calculation 4 6 4" xfId="2485"/>
    <cellStyle name="Calculation 4 6 5" xfId="3527"/>
    <cellStyle name="Calculation 4 6 6" xfId="4569"/>
    <cellStyle name="Calculation 4 7" xfId="450"/>
    <cellStyle name="Calculation 4 7 2" xfId="947"/>
    <cellStyle name="Calculation 4 7 2 2" xfId="1991"/>
    <cellStyle name="Calculation 4 7 2 3" xfId="3033"/>
    <cellStyle name="Calculation 4 7 2 4" xfId="4075"/>
    <cellStyle name="Calculation 4 7 2 5" xfId="5117"/>
    <cellStyle name="Calculation 4 7 3" xfId="1494"/>
    <cellStyle name="Calculation 4 7 4" xfId="2536"/>
    <cellStyle name="Calculation 4 7 5" xfId="3578"/>
    <cellStyle name="Calculation 4 7 6" xfId="4620"/>
    <cellStyle name="Calculation 4 8" xfId="499"/>
    <cellStyle name="Calculation 4 8 2" xfId="989"/>
    <cellStyle name="Calculation 4 8 2 2" xfId="2033"/>
    <cellStyle name="Calculation 4 8 2 3" xfId="3075"/>
    <cellStyle name="Calculation 4 8 2 4" xfId="4117"/>
    <cellStyle name="Calculation 4 8 2 5" xfId="5159"/>
    <cellStyle name="Calculation 4 8 3" xfId="1543"/>
    <cellStyle name="Calculation 4 8 4" xfId="2585"/>
    <cellStyle name="Calculation 4 8 5" xfId="3627"/>
    <cellStyle name="Calculation 4 8 6" xfId="4669"/>
    <cellStyle name="Calculation 4 9" xfId="471"/>
    <cellStyle name="Calculation 4 9 2" xfId="962"/>
    <cellStyle name="Calculation 4 9 2 2" xfId="2006"/>
    <cellStyle name="Calculation 4 9 2 3" xfId="3048"/>
    <cellStyle name="Calculation 4 9 2 4" xfId="4090"/>
    <cellStyle name="Calculation 4 9 2 5" xfId="5132"/>
    <cellStyle name="Calculation 4 9 3" xfId="1515"/>
    <cellStyle name="Calculation 4 9 4" xfId="2557"/>
    <cellStyle name="Calculation 4 9 5" xfId="3599"/>
    <cellStyle name="Calculation 4 9 6" xfId="4641"/>
    <cellStyle name="Calculation 5" xfId="69"/>
    <cellStyle name="Calculation 5 10" xfId="590"/>
    <cellStyle name="Calculation 5 10 2" xfId="1634"/>
    <cellStyle name="Calculation 5 10 3" xfId="2676"/>
    <cellStyle name="Calculation 5 10 4" xfId="3718"/>
    <cellStyle name="Calculation 5 10 5" xfId="4760"/>
    <cellStyle name="Calculation 5 11" xfId="447"/>
    <cellStyle name="Calculation 5 11 2" xfId="1491"/>
    <cellStyle name="Calculation 5 11 3" xfId="2533"/>
    <cellStyle name="Calculation 5 11 4" xfId="3575"/>
    <cellStyle name="Calculation 5 11 5" xfId="4617"/>
    <cellStyle name="Calculation 5 12" xfId="1059"/>
    <cellStyle name="Calculation 5 12 2" xfId="2103"/>
    <cellStyle name="Calculation 5 12 3" xfId="3145"/>
    <cellStyle name="Calculation 5 12 4" xfId="4187"/>
    <cellStyle name="Calculation 5 12 5" xfId="5229"/>
    <cellStyle name="Calculation 5 13" xfId="1113"/>
    <cellStyle name="Calculation 5 14" xfId="2155"/>
    <cellStyle name="Calculation 5 15" xfId="3197"/>
    <cellStyle name="Calculation 5 16" xfId="4239"/>
    <cellStyle name="Calculation 5 2" xfId="164"/>
    <cellStyle name="Calculation 5 2 2" xfId="685"/>
    <cellStyle name="Calculation 5 2 2 2" xfId="1729"/>
    <cellStyle name="Calculation 5 2 2 3" xfId="2771"/>
    <cellStyle name="Calculation 5 2 2 4" xfId="3813"/>
    <cellStyle name="Calculation 5 2 2 5" xfId="4855"/>
    <cellStyle name="Calculation 5 2 3" xfId="1208"/>
    <cellStyle name="Calculation 5 2 4" xfId="2250"/>
    <cellStyle name="Calculation 5 2 5" xfId="3292"/>
    <cellStyle name="Calculation 5 2 6" xfId="4334"/>
    <cellStyle name="Calculation 5 3" xfId="106"/>
    <cellStyle name="Calculation 5 3 2" xfId="627"/>
    <cellStyle name="Calculation 5 3 2 2" xfId="1671"/>
    <cellStyle name="Calculation 5 3 2 3" xfId="2713"/>
    <cellStyle name="Calculation 5 3 2 4" xfId="3755"/>
    <cellStyle name="Calculation 5 3 2 5" xfId="4797"/>
    <cellStyle name="Calculation 5 3 3" xfId="1150"/>
    <cellStyle name="Calculation 5 3 4" xfId="2192"/>
    <cellStyle name="Calculation 5 3 5" xfId="3234"/>
    <cellStyle name="Calculation 5 3 6" xfId="4276"/>
    <cellStyle name="Calculation 5 4" xfId="252"/>
    <cellStyle name="Calculation 5 4 2" xfId="774"/>
    <cellStyle name="Calculation 5 4 2 2" xfId="1818"/>
    <cellStyle name="Calculation 5 4 2 3" xfId="2860"/>
    <cellStyle name="Calculation 5 4 2 4" xfId="3902"/>
    <cellStyle name="Calculation 5 4 2 5" xfId="4944"/>
    <cellStyle name="Calculation 5 4 3" xfId="1297"/>
    <cellStyle name="Calculation 5 4 4" xfId="2339"/>
    <cellStyle name="Calculation 5 4 5" xfId="3381"/>
    <cellStyle name="Calculation 5 4 6" xfId="4423"/>
    <cellStyle name="Calculation 5 5" xfId="151"/>
    <cellStyle name="Calculation 5 5 2" xfId="673"/>
    <cellStyle name="Calculation 5 5 2 2" xfId="1717"/>
    <cellStyle name="Calculation 5 5 2 3" xfId="2759"/>
    <cellStyle name="Calculation 5 5 2 4" xfId="3801"/>
    <cellStyle name="Calculation 5 5 2 5" xfId="4843"/>
    <cellStyle name="Calculation 5 5 3" xfId="1196"/>
    <cellStyle name="Calculation 5 5 4" xfId="2238"/>
    <cellStyle name="Calculation 5 5 5" xfId="3280"/>
    <cellStyle name="Calculation 5 5 6" xfId="4322"/>
    <cellStyle name="Calculation 5 6" xfId="379"/>
    <cellStyle name="Calculation 5 6 2" xfId="891"/>
    <cellStyle name="Calculation 5 6 2 2" xfId="1935"/>
    <cellStyle name="Calculation 5 6 2 3" xfId="2977"/>
    <cellStyle name="Calculation 5 6 2 4" xfId="4019"/>
    <cellStyle name="Calculation 5 6 2 5" xfId="5061"/>
    <cellStyle name="Calculation 5 6 3" xfId="1424"/>
    <cellStyle name="Calculation 5 6 4" xfId="2466"/>
    <cellStyle name="Calculation 5 6 5" xfId="3508"/>
    <cellStyle name="Calculation 5 6 6" xfId="4550"/>
    <cellStyle name="Calculation 5 7" xfId="474"/>
    <cellStyle name="Calculation 5 7 2" xfId="965"/>
    <cellStyle name="Calculation 5 7 2 2" xfId="2009"/>
    <cellStyle name="Calculation 5 7 2 3" xfId="3051"/>
    <cellStyle name="Calculation 5 7 2 4" xfId="4093"/>
    <cellStyle name="Calculation 5 7 2 5" xfId="5135"/>
    <cellStyle name="Calculation 5 7 3" xfId="1518"/>
    <cellStyle name="Calculation 5 7 4" xfId="2560"/>
    <cellStyle name="Calculation 5 7 5" xfId="3602"/>
    <cellStyle name="Calculation 5 7 6" xfId="4644"/>
    <cellStyle name="Calculation 5 8" xfId="481"/>
    <cellStyle name="Calculation 5 8 2" xfId="971"/>
    <cellStyle name="Calculation 5 8 2 2" xfId="2015"/>
    <cellStyle name="Calculation 5 8 2 3" xfId="3057"/>
    <cellStyle name="Calculation 5 8 2 4" xfId="4099"/>
    <cellStyle name="Calculation 5 8 2 5" xfId="5141"/>
    <cellStyle name="Calculation 5 8 3" xfId="1525"/>
    <cellStyle name="Calculation 5 8 4" xfId="2567"/>
    <cellStyle name="Calculation 5 8 5" xfId="3609"/>
    <cellStyle name="Calculation 5 8 6" xfId="4651"/>
    <cellStyle name="Calculation 5 9" xfId="570"/>
    <cellStyle name="Calculation 5 9 2" xfId="1046"/>
    <cellStyle name="Calculation 5 9 2 2" xfId="2090"/>
    <cellStyle name="Calculation 5 9 2 3" xfId="3132"/>
    <cellStyle name="Calculation 5 9 2 4" xfId="4174"/>
    <cellStyle name="Calculation 5 9 2 5" xfId="5216"/>
    <cellStyle name="Calculation 5 9 3" xfId="1614"/>
    <cellStyle name="Calculation 5 9 4" xfId="2656"/>
    <cellStyle name="Calculation 5 9 5" xfId="3698"/>
    <cellStyle name="Calculation 5 9 6" xfId="4740"/>
    <cellStyle name="Calculation 6" xfId="92"/>
    <cellStyle name="Calculation 6 10" xfId="613"/>
    <cellStyle name="Calculation 6 10 2" xfId="1657"/>
    <cellStyle name="Calculation 6 10 3" xfId="2699"/>
    <cellStyle name="Calculation 6 10 4" xfId="3741"/>
    <cellStyle name="Calculation 6 10 5" xfId="4783"/>
    <cellStyle name="Calculation 6 11" xfId="563"/>
    <cellStyle name="Calculation 6 11 2" xfId="1607"/>
    <cellStyle name="Calculation 6 11 3" xfId="2649"/>
    <cellStyle name="Calculation 6 11 4" xfId="3691"/>
    <cellStyle name="Calculation 6 11 5" xfId="4733"/>
    <cellStyle name="Calculation 6 12" xfId="1082"/>
    <cellStyle name="Calculation 6 12 2" xfId="2126"/>
    <cellStyle name="Calculation 6 12 3" xfId="3168"/>
    <cellStyle name="Calculation 6 12 4" xfId="4210"/>
    <cellStyle name="Calculation 6 12 5" xfId="5252"/>
    <cellStyle name="Calculation 6 13" xfId="1136"/>
    <cellStyle name="Calculation 6 14" xfId="2178"/>
    <cellStyle name="Calculation 6 15" xfId="3220"/>
    <cellStyle name="Calculation 6 16" xfId="4262"/>
    <cellStyle name="Calculation 6 2" xfId="186"/>
    <cellStyle name="Calculation 6 2 2" xfId="708"/>
    <cellStyle name="Calculation 6 2 2 2" xfId="1752"/>
    <cellStyle name="Calculation 6 2 2 3" xfId="2794"/>
    <cellStyle name="Calculation 6 2 2 4" xfId="3836"/>
    <cellStyle name="Calculation 6 2 2 5" xfId="4878"/>
    <cellStyle name="Calculation 6 2 3" xfId="1231"/>
    <cellStyle name="Calculation 6 2 4" xfId="2273"/>
    <cellStyle name="Calculation 6 2 5" xfId="3315"/>
    <cellStyle name="Calculation 6 2 6" xfId="4357"/>
    <cellStyle name="Calculation 6 3" xfId="150"/>
    <cellStyle name="Calculation 6 3 2" xfId="672"/>
    <cellStyle name="Calculation 6 3 2 2" xfId="1716"/>
    <cellStyle name="Calculation 6 3 2 3" xfId="2758"/>
    <cellStyle name="Calculation 6 3 2 4" xfId="3800"/>
    <cellStyle name="Calculation 6 3 2 5" xfId="4842"/>
    <cellStyle name="Calculation 6 3 3" xfId="1195"/>
    <cellStyle name="Calculation 6 3 4" xfId="2237"/>
    <cellStyle name="Calculation 6 3 5" xfId="3279"/>
    <cellStyle name="Calculation 6 3 6" xfId="4321"/>
    <cellStyle name="Calculation 6 4" xfId="272"/>
    <cellStyle name="Calculation 6 4 2" xfId="794"/>
    <cellStyle name="Calculation 6 4 2 2" xfId="1838"/>
    <cellStyle name="Calculation 6 4 2 3" xfId="2880"/>
    <cellStyle name="Calculation 6 4 2 4" xfId="3922"/>
    <cellStyle name="Calculation 6 4 2 5" xfId="4964"/>
    <cellStyle name="Calculation 6 4 3" xfId="1317"/>
    <cellStyle name="Calculation 6 4 4" xfId="2359"/>
    <cellStyle name="Calculation 6 4 5" xfId="3401"/>
    <cellStyle name="Calculation 6 4 6" xfId="4443"/>
    <cellStyle name="Calculation 6 5" xfId="122"/>
    <cellStyle name="Calculation 6 5 2" xfId="644"/>
    <cellStyle name="Calculation 6 5 2 2" xfId="1688"/>
    <cellStyle name="Calculation 6 5 2 3" xfId="2730"/>
    <cellStyle name="Calculation 6 5 2 4" xfId="3772"/>
    <cellStyle name="Calculation 6 5 2 5" xfId="4814"/>
    <cellStyle name="Calculation 6 5 3" xfId="1167"/>
    <cellStyle name="Calculation 6 5 4" xfId="2209"/>
    <cellStyle name="Calculation 6 5 5" xfId="3251"/>
    <cellStyle name="Calculation 6 5 6" xfId="4293"/>
    <cellStyle name="Calculation 6 6" xfId="402"/>
    <cellStyle name="Calculation 6 6 2" xfId="911"/>
    <cellStyle name="Calculation 6 6 2 2" xfId="1955"/>
    <cellStyle name="Calculation 6 6 2 3" xfId="2997"/>
    <cellStyle name="Calculation 6 6 2 4" xfId="4039"/>
    <cellStyle name="Calculation 6 6 2 5" xfId="5081"/>
    <cellStyle name="Calculation 6 6 3" xfId="1447"/>
    <cellStyle name="Calculation 6 6 4" xfId="2489"/>
    <cellStyle name="Calculation 6 6 5" xfId="3531"/>
    <cellStyle name="Calculation 6 6 6" xfId="4573"/>
    <cellStyle name="Calculation 6 7" xfId="346"/>
    <cellStyle name="Calculation 6 7 2" xfId="864"/>
    <cellStyle name="Calculation 6 7 2 2" xfId="1908"/>
    <cellStyle name="Calculation 6 7 2 3" xfId="2950"/>
    <cellStyle name="Calculation 6 7 2 4" xfId="3992"/>
    <cellStyle name="Calculation 6 7 2 5" xfId="5034"/>
    <cellStyle name="Calculation 6 7 3" xfId="1391"/>
    <cellStyle name="Calculation 6 7 4" xfId="2433"/>
    <cellStyle name="Calculation 6 7 5" xfId="3475"/>
    <cellStyle name="Calculation 6 7 6" xfId="4517"/>
    <cellStyle name="Calculation 6 8" xfId="503"/>
    <cellStyle name="Calculation 6 8 2" xfId="993"/>
    <cellStyle name="Calculation 6 8 2 2" xfId="2037"/>
    <cellStyle name="Calculation 6 8 2 3" xfId="3079"/>
    <cellStyle name="Calculation 6 8 2 4" xfId="4121"/>
    <cellStyle name="Calculation 6 8 2 5" xfId="5163"/>
    <cellStyle name="Calculation 6 8 3" xfId="1547"/>
    <cellStyle name="Calculation 6 8 4" xfId="2589"/>
    <cellStyle name="Calculation 6 8 5" xfId="3631"/>
    <cellStyle name="Calculation 6 8 6" xfId="4673"/>
    <cellStyle name="Calculation 6 9" xfId="572"/>
    <cellStyle name="Calculation 6 9 2" xfId="1047"/>
    <cellStyle name="Calculation 6 9 2 2" xfId="2091"/>
    <cellStyle name="Calculation 6 9 2 3" xfId="3133"/>
    <cellStyle name="Calculation 6 9 2 4" xfId="4175"/>
    <cellStyle name="Calculation 6 9 2 5" xfId="5217"/>
    <cellStyle name="Calculation 6 9 3" xfId="1616"/>
    <cellStyle name="Calculation 6 9 4" xfId="2658"/>
    <cellStyle name="Calculation 6 9 5" xfId="3700"/>
    <cellStyle name="Calculation 6 9 6" xfId="4742"/>
    <cellStyle name="Calculation 7" xfId="111"/>
    <cellStyle name="Calculation 7 10" xfId="632"/>
    <cellStyle name="Calculation 7 10 2" xfId="1676"/>
    <cellStyle name="Calculation 7 10 3" xfId="2718"/>
    <cellStyle name="Calculation 7 10 4" xfId="3760"/>
    <cellStyle name="Calculation 7 10 5" xfId="4802"/>
    <cellStyle name="Calculation 7 11" xfId="566"/>
    <cellStyle name="Calculation 7 11 2" xfId="1610"/>
    <cellStyle name="Calculation 7 11 3" xfId="2652"/>
    <cellStyle name="Calculation 7 11 4" xfId="3694"/>
    <cellStyle name="Calculation 7 11 5" xfId="4736"/>
    <cellStyle name="Calculation 7 12" xfId="1096"/>
    <cellStyle name="Calculation 7 12 2" xfId="2140"/>
    <cellStyle name="Calculation 7 12 3" xfId="3182"/>
    <cellStyle name="Calculation 7 12 4" xfId="4224"/>
    <cellStyle name="Calculation 7 12 5" xfId="5266"/>
    <cellStyle name="Calculation 7 13" xfId="1155"/>
    <cellStyle name="Calculation 7 14" xfId="2197"/>
    <cellStyle name="Calculation 7 15" xfId="3239"/>
    <cellStyle name="Calculation 7 16" xfId="4281"/>
    <cellStyle name="Calculation 7 2" xfId="200"/>
    <cellStyle name="Calculation 7 2 2" xfId="722"/>
    <cellStyle name="Calculation 7 2 2 2" xfId="1766"/>
    <cellStyle name="Calculation 7 2 2 3" xfId="2808"/>
    <cellStyle name="Calculation 7 2 2 4" xfId="3850"/>
    <cellStyle name="Calculation 7 2 2 5" xfId="4892"/>
    <cellStyle name="Calculation 7 2 3" xfId="1245"/>
    <cellStyle name="Calculation 7 2 4" xfId="2287"/>
    <cellStyle name="Calculation 7 2 5" xfId="3329"/>
    <cellStyle name="Calculation 7 2 6" xfId="4371"/>
    <cellStyle name="Calculation 7 3" xfId="214"/>
    <cellStyle name="Calculation 7 3 2" xfId="736"/>
    <cellStyle name="Calculation 7 3 2 2" xfId="1780"/>
    <cellStyle name="Calculation 7 3 2 3" xfId="2822"/>
    <cellStyle name="Calculation 7 3 2 4" xfId="3864"/>
    <cellStyle name="Calculation 7 3 2 5" xfId="4906"/>
    <cellStyle name="Calculation 7 3 3" xfId="1259"/>
    <cellStyle name="Calculation 7 3 4" xfId="2301"/>
    <cellStyle name="Calculation 7 3 5" xfId="3343"/>
    <cellStyle name="Calculation 7 3 6" xfId="4385"/>
    <cellStyle name="Calculation 7 4" xfId="286"/>
    <cellStyle name="Calculation 7 4 2" xfId="808"/>
    <cellStyle name="Calculation 7 4 2 2" xfId="1852"/>
    <cellStyle name="Calculation 7 4 2 3" xfId="2894"/>
    <cellStyle name="Calculation 7 4 2 4" xfId="3936"/>
    <cellStyle name="Calculation 7 4 2 5" xfId="4978"/>
    <cellStyle name="Calculation 7 4 3" xfId="1331"/>
    <cellStyle name="Calculation 7 4 4" xfId="2373"/>
    <cellStyle name="Calculation 7 4 5" xfId="3415"/>
    <cellStyle name="Calculation 7 4 6" xfId="4457"/>
    <cellStyle name="Calculation 7 5" xfId="247"/>
    <cellStyle name="Calculation 7 5 2" xfId="769"/>
    <cellStyle name="Calculation 7 5 2 2" xfId="1813"/>
    <cellStyle name="Calculation 7 5 2 3" xfId="2855"/>
    <cellStyle name="Calculation 7 5 2 4" xfId="3897"/>
    <cellStyle name="Calculation 7 5 2 5" xfId="4939"/>
    <cellStyle name="Calculation 7 5 3" xfId="1292"/>
    <cellStyle name="Calculation 7 5 4" xfId="2334"/>
    <cellStyle name="Calculation 7 5 5" xfId="3376"/>
    <cellStyle name="Calculation 7 5 6" xfId="4418"/>
    <cellStyle name="Calculation 7 6" xfId="416"/>
    <cellStyle name="Calculation 7 6 2" xfId="925"/>
    <cellStyle name="Calculation 7 6 2 2" xfId="1969"/>
    <cellStyle name="Calculation 7 6 2 3" xfId="3011"/>
    <cellStyle name="Calculation 7 6 2 4" xfId="4053"/>
    <cellStyle name="Calculation 7 6 2 5" xfId="5095"/>
    <cellStyle name="Calculation 7 6 3" xfId="1461"/>
    <cellStyle name="Calculation 7 6 4" xfId="2503"/>
    <cellStyle name="Calculation 7 6 5" xfId="3545"/>
    <cellStyle name="Calculation 7 6 6" xfId="4587"/>
    <cellStyle name="Calculation 7 7" xfId="359"/>
    <cellStyle name="Calculation 7 7 2" xfId="877"/>
    <cellStyle name="Calculation 7 7 2 2" xfId="1921"/>
    <cellStyle name="Calculation 7 7 2 3" xfId="2963"/>
    <cellStyle name="Calculation 7 7 2 4" xfId="4005"/>
    <cellStyle name="Calculation 7 7 2 5" xfId="5047"/>
    <cellStyle name="Calculation 7 7 3" xfId="1404"/>
    <cellStyle name="Calculation 7 7 4" xfId="2446"/>
    <cellStyle name="Calculation 7 7 5" xfId="3488"/>
    <cellStyle name="Calculation 7 7 6" xfId="4530"/>
    <cellStyle name="Calculation 7 8" xfId="517"/>
    <cellStyle name="Calculation 7 8 2" xfId="1007"/>
    <cellStyle name="Calculation 7 8 2 2" xfId="2051"/>
    <cellStyle name="Calculation 7 8 2 3" xfId="3093"/>
    <cellStyle name="Calculation 7 8 2 4" xfId="4135"/>
    <cellStyle name="Calculation 7 8 2 5" xfId="5177"/>
    <cellStyle name="Calculation 7 8 3" xfId="1561"/>
    <cellStyle name="Calculation 7 8 4" xfId="2603"/>
    <cellStyle name="Calculation 7 8 5" xfId="3645"/>
    <cellStyle name="Calculation 7 8 6" xfId="4687"/>
    <cellStyle name="Calculation 7 9" xfId="429"/>
    <cellStyle name="Calculation 7 9 2" xfId="935"/>
    <cellStyle name="Calculation 7 9 2 2" xfId="1979"/>
    <cellStyle name="Calculation 7 9 2 3" xfId="3021"/>
    <cellStyle name="Calculation 7 9 2 4" xfId="4063"/>
    <cellStyle name="Calculation 7 9 2 5" xfId="5105"/>
    <cellStyle name="Calculation 7 9 3" xfId="1474"/>
    <cellStyle name="Calculation 7 9 4" xfId="2516"/>
    <cellStyle name="Calculation 7 9 5" xfId="3558"/>
    <cellStyle name="Calculation 7 9 6" xfId="4600"/>
    <cellStyle name="Calculation 8" xfId="108"/>
    <cellStyle name="Calculation 8 10" xfId="629"/>
    <cellStyle name="Calculation 8 10 2" xfId="1673"/>
    <cellStyle name="Calculation 8 10 3" xfId="2715"/>
    <cellStyle name="Calculation 8 10 4" xfId="3757"/>
    <cellStyle name="Calculation 8 10 5" xfId="4799"/>
    <cellStyle name="Calculation 8 11" xfId="462"/>
    <cellStyle name="Calculation 8 11 2" xfId="1506"/>
    <cellStyle name="Calculation 8 11 3" xfId="2548"/>
    <cellStyle name="Calculation 8 11 4" xfId="3590"/>
    <cellStyle name="Calculation 8 11 5" xfId="4632"/>
    <cellStyle name="Calculation 8 12" xfId="1095"/>
    <cellStyle name="Calculation 8 12 2" xfId="2139"/>
    <cellStyle name="Calculation 8 12 3" xfId="3181"/>
    <cellStyle name="Calculation 8 12 4" xfId="4223"/>
    <cellStyle name="Calculation 8 12 5" xfId="5265"/>
    <cellStyle name="Calculation 8 13" xfId="1152"/>
    <cellStyle name="Calculation 8 14" xfId="2194"/>
    <cellStyle name="Calculation 8 15" xfId="3236"/>
    <cellStyle name="Calculation 8 16" xfId="4278"/>
    <cellStyle name="Calculation 8 2" xfId="199"/>
    <cellStyle name="Calculation 8 2 2" xfId="721"/>
    <cellStyle name="Calculation 8 2 2 2" xfId="1765"/>
    <cellStyle name="Calculation 8 2 2 3" xfId="2807"/>
    <cellStyle name="Calculation 8 2 2 4" xfId="3849"/>
    <cellStyle name="Calculation 8 2 2 5" xfId="4891"/>
    <cellStyle name="Calculation 8 2 3" xfId="1244"/>
    <cellStyle name="Calculation 8 2 4" xfId="2286"/>
    <cellStyle name="Calculation 8 2 5" xfId="3328"/>
    <cellStyle name="Calculation 8 2 6" xfId="4370"/>
    <cellStyle name="Calculation 8 3" xfId="228"/>
    <cellStyle name="Calculation 8 3 2" xfId="750"/>
    <cellStyle name="Calculation 8 3 2 2" xfId="1794"/>
    <cellStyle name="Calculation 8 3 2 3" xfId="2836"/>
    <cellStyle name="Calculation 8 3 2 4" xfId="3878"/>
    <cellStyle name="Calculation 8 3 2 5" xfId="4920"/>
    <cellStyle name="Calculation 8 3 3" xfId="1273"/>
    <cellStyle name="Calculation 8 3 4" xfId="2315"/>
    <cellStyle name="Calculation 8 3 5" xfId="3357"/>
    <cellStyle name="Calculation 8 3 6" xfId="4399"/>
    <cellStyle name="Calculation 8 4" xfId="285"/>
    <cellStyle name="Calculation 8 4 2" xfId="807"/>
    <cellStyle name="Calculation 8 4 2 2" xfId="1851"/>
    <cellStyle name="Calculation 8 4 2 3" xfId="2893"/>
    <cellStyle name="Calculation 8 4 2 4" xfId="3935"/>
    <cellStyle name="Calculation 8 4 2 5" xfId="4977"/>
    <cellStyle name="Calculation 8 4 3" xfId="1330"/>
    <cellStyle name="Calculation 8 4 4" xfId="2372"/>
    <cellStyle name="Calculation 8 4 5" xfId="3414"/>
    <cellStyle name="Calculation 8 4 6" xfId="4456"/>
    <cellStyle name="Calculation 8 5" xfId="307"/>
    <cellStyle name="Calculation 8 5 2" xfId="829"/>
    <cellStyle name="Calculation 8 5 2 2" xfId="1873"/>
    <cellStyle name="Calculation 8 5 2 3" xfId="2915"/>
    <cellStyle name="Calculation 8 5 2 4" xfId="3957"/>
    <cellStyle name="Calculation 8 5 2 5" xfId="4999"/>
    <cellStyle name="Calculation 8 5 3" xfId="1352"/>
    <cellStyle name="Calculation 8 5 4" xfId="2394"/>
    <cellStyle name="Calculation 8 5 5" xfId="3436"/>
    <cellStyle name="Calculation 8 5 6" xfId="4478"/>
    <cellStyle name="Calculation 8 6" xfId="415"/>
    <cellStyle name="Calculation 8 6 2" xfId="924"/>
    <cellStyle name="Calculation 8 6 2 2" xfId="1968"/>
    <cellStyle name="Calculation 8 6 2 3" xfId="3010"/>
    <cellStyle name="Calculation 8 6 2 4" xfId="4052"/>
    <cellStyle name="Calculation 8 6 2 5" xfId="5094"/>
    <cellStyle name="Calculation 8 6 3" xfId="1460"/>
    <cellStyle name="Calculation 8 6 4" xfId="2502"/>
    <cellStyle name="Calculation 8 6 5" xfId="3544"/>
    <cellStyle name="Calculation 8 6 6" xfId="4586"/>
    <cellStyle name="Calculation 8 7" xfId="358"/>
    <cellStyle name="Calculation 8 7 2" xfId="876"/>
    <cellStyle name="Calculation 8 7 2 2" xfId="1920"/>
    <cellStyle name="Calculation 8 7 2 3" xfId="2962"/>
    <cellStyle name="Calculation 8 7 2 4" xfId="4004"/>
    <cellStyle name="Calculation 8 7 2 5" xfId="5046"/>
    <cellStyle name="Calculation 8 7 3" xfId="1403"/>
    <cellStyle name="Calculation 8 7 4" xfId="2445"/>
    <cellStyle name="Calculation 8 7 5" xfId="3487"/>
    <cellStyle name="Calculation 8 7 6" xfId="4529"/>
    <cellStyle name="Calculation 8 8" xfId="516"/>
    <cellStyle name="Calculation 8 8 2" xfId="1006"/>
    <cellStyle name="Calculation 8 8 2 2" xfId="2050"/>
    <cellStyle name="Calculation 8 8 2 3" xfId="3092"/>
    <cellStyle name="Calculation 8 8 2 4" xfId="4134"/>
    <cellStyle name="Calculation 8 8 2 5" xfId="5176"/>
    <cellStyle name="Calculation 8 8 3" xfId="1560"/>
    <cellStyle name="Calculation 8 8 4" xfId="2602"/>
    <cellStyle name="Calculation 8 8 5" xfId="3644"/>
    <cellStyle name="Calculation 8 8 6" xfId="4686"/>
    <cellStyle name="Calculation 8 9" xfId="446"/>
    <cellStyle name="Calculation 8 9 2" xfId="945"/>
    <cellStyle name="Calculation 8 9 2 2" xfId="1989"/>
    <cellStyle name="Calculation 8 9 2 3" xfId="3031"/>
    <cellStyle name="Calculation 8 9 2 4" xfId="4073"/>
    <cellStyle name="Calculation 8 9 2 5" xfId="5115"/>
    <cellStyle name="Calculation 8 9 3" xfId="1490"/>
    <cellStyle name="Calculation 8 9 4" xfId="2532"/>
    <cellStyle name="Calculation 8 9 5" xfId="3574"/>
    <cellStyle name="Calculation 8 9 6" xfId="4616"/>
    <cellStyle name="Calculation 9" xfId="124"/>
    <cellStyle name="Calculation 9 10" xfId="646"/>
    <cellStyle name="Calculation 9 10 2" xfId="1690"/>
    <cellStyle name="Calculation 9 10 3" xfId="2732"/>
    <cellStyle name="Calculation 9 10 4" xfId="3774"/>
    <cellStyle name="Calculation 9 10 5" xfId="4816"/>
    <cellStyle name="Calculation 9 11" xfId="541"/>
    <cellStyle name="Calculation 9 11 2" xfId="1585"/>
    <cellStyle name="Calculation 9 11 3" xfId="2627"/>
    <cellStyle name="Calculation 9 11 4" xfId="3669"/>
    <cellStyle name="Calculation 9 11 5" xfId="4711"/>
    <cellStyle name="Calculation 9 12" xfId="1103"/>
    <cellStyle name="Calculation 9 12 2" xfId="2147"/>
    <cellStyle name="Calculation 9 12 3" xfId="3189"/>
    <cellStyle name="Calculation 9 12 4" xfId="4231"/>
    <cellStyle name="Calculation 9 12 5" xfId="5273"/>
    <cellStyle name="Calculation 9 13" xfId="1169"/>
    <cellStyle name="Calculation 9 14" xfId="2211"/>
    <cellStyle name="Calculation 9 15" xfId="3253"/>
    <cellStyle name="Calculation 9 16" xfId="4295"/>
    <cellStyle name="Calculation 9 2" xfId="204"/>
    <cellStyle name="Calculation 9 2 2" xfId="726"/>
    <cellStyle name="Calculation 9 2 2 2" xfId="1770"/>
    <cellStyle name="Calculation 9 2 2 3" xfId="2812"/>
    <cellStyle name="Calculation 9 2 2 4" xfId="3854"/>
    <cellStyle name="Calculation 9 2 2 5" xfId="4896"/>
    <cellStyle name="Calculation 9 2 3" xfId="1249"/>
    <cellStyle name="Calculation 9 2 4" xfId="2291"/>
    <cellStyle name="Calculation 9 2 5" xfId="3333"/>
    <cellStyle name="Calculation 9 2 6" xfId="4375"/>
    <cellStyle name="Calculation 9 3" xfId="231"/>
    <cellStyle name="Calculation 9 3 2" xfId="753"/>
    <cellStyle name="Calculation 9 3 2 2" xfId="1797"/>
    <cellStyle name="Calculation 9 3 2 3" xfId="2839"/>
    <cellStyle name="Calculation 9 3 2 4" xfId="3881"/>
    <cellStyle name="Calculation 9 3 2 5" xfId="4923"/>
    <cellStyle name="Calculation 9 3 3" xfId="1276"/>
    <cellStyle name="Calculation 9 3 4" xfId="2318"/>
    <cellStyle name="Calculation 9 3 5" xfId="3360"/>
    <cellStyle name="Calculation 9 3 6" xfId="4402"/>
    <cellStyle name="Calculation 9 4" xfId="291"/>
    <cellStyle name="Calculation 9 4 2" xfId="813"/>
    <cellStyle name="Calculation 9 4 2 2" xfId="1857"/>
    <cellStyle name="Calculation 9 4 2 3" xfId="2899"/>
    <cellStyle name="Calculation 9 4 2 4" xfId="3941"/>
    <cellStyle name="Calculation 9 4 2 5" xfId="4983"/>
    <cellStyle name="Calculation 9 4 3" xfId="1336"/>
    <cellStyle name="Calculation 9 4 4" xfId="2378"/>
    <cellStyle name="Calculation 9 4 5" xfId="3420"/>
    <cellStyle name="Calculation 9 4 6" xfId="4462"/>
    <cellStyle name="Calculation 9 5" xfId="310"/>
    <cellStyle name="Calculation 9 5 2" xfId="832"/>
    <cellStyle name="Calculation 9 5 2 2" xfId="1876"/>
    <cellStyle name="Calculation 9 5 2 3" xfId="2918"/>
    <cellStyle name="Calculation 9 5 2 4" xfId="3960"/>
    <cellStyle name="Calculation 9 5 2 5" xfId="5002"/>
    <cellStyle name="Calculation 9 5 3" xfId="1355"/>
    <cellStyle name="Calculation 9 5 4" xfId="2397"/>
    <cellStyle name="Calculation 9 5 5" xfId="3439"/>
    <cellStyle name="Calculation 9 5 6" xfId="4481"/>
    <cellStyle name="Calculation 9 6" xfId="423"/>
    <cellStyle name="Calculation 9 6 2" xfId="929"/>
    <cellStyle name="Calculation 9 6 2 2" xfId="1973"/>
    <cellStyle name="Calculation 9 6 2 3" xfId="3015"/>
    <cellStyle name="Calculation 9 6 2 4" xfId="4057"/>
    <cellStyle name="Calculation 9 6 2 5" xfId="5099"/>
    <cellStyle name="Calculation 9 6 3" xfId="1468"/>
    <cellStyle name="Calculation 9 6 4" xfId="2510"/>
    <cellStyle name="Calculation 9 6 5" xfId="3552"/>
    <cellStyle name="Calculation 9 6 6" xfId="4594"/>
    <cellStyle name="Calculation 9 7" xfId="367"/>
    <cellStyle name="Calculation 9 7 2" xfId="884"/>
    <cellStyle name="Calculation 9 7 2 2" xfId="1928"/>
    <cellStyle name="Calculation 9 7 2 3" xfId="2970"/>
    <cellStyle name="Calculation 9 7 2 4" xfId="4012"/>
    <cellStyle name="Calculation 9 7 2 5" xfId="5054"/>
    <cellStyle name="Calculation 9 7 3" xfId="1412"/>
    <cellStyle name="Calculation 9 7 4" xfId="2454"/>
    <cellStyle name="Calculation 9 7 5" xfId="3496"/>
    <cellStyle name="Calculation 9 7 6" xfId="4538"/>
    <cellStyle name="Calculation 9 8" xfId="523"/>
    <cellStyle name="Calculation 9 8 2" xfId="1013"/>
    <cellStyle name="Calculation 9 8 2 2" xfId="2057"/>
    <cellStyle name="Calculation 9 8 2 3" xfId="3099"/>
    <cellStyle name="Calculation 9 8 2 4" xfId="4141"/>
    <cellStyle name="Calculation 9 8 2 5" xfId="5183"/>
    <cellStyle name="Calculation 9 8 3" xfId="1567"/>
    <cellStyle name="Calculation 9 8 4" xfId="2609"/>
    <cellStyle name="Calculation 9 8 5" xfId="3651"/>
    <cellStyle name="Calculation 9 8 6" xfId="4693"/>
    <cellStyle name="Calculation 9 9" xfId="532"/>
    <cellStyle name="Calculation 9 9 2" xfId="1020"/>
    <cellStyle name="Calculation 9 9 2 2" xfId="2064"/>
    <cellStyle name="Calculation 9 9 2 3" xfId="3106"/>
    <cellStyle name="Calculation 9 9 2 4" xfId="4148"/>
    <cellStyle name="Calculation 9 9 2 5" xfId="5190"/>
    <cellStyle name="Calculation 9 9 3" xfId="1576"/>
    <cellStyle name="Calculation 9 9 4" xfId="2618"/>
    <cellStyle name="Calculation 9 9 5" xfId="3660"/>
    <cellStyle name="Calculation 9 9 6" xfId="4702"/>
    <cellStyle name="Check Cell 2" xfId="47"/>
    <cellStyle name="Comma 2" xfId="12"/>
    <cellStyle name="Comma 2 2" xfId="64"/>
    <cellStyle name="Comma 3" xfId="14"/>
    <cellStyle name="Comma 4" xfId="5"/>
    <cellStyle name="Currency 2" xfId="5281"/>
    <cellStyle name="Currency 3" xfId="5282"/>
    <cellStyle name="Explanatory Text 2" xfId="48"/>
    <cellStyle name="Good 2" xfId="49"/>
    <cellStyle name="Heading 1 2" xfId="50"/>
    <cellStyle name="Heading 2 2" xfId="51"/>
    <cellStyle name="Heading 3 2" xfId="52"/>
    <cellStyle name="Heading 4 2" xfId="53"/>
    <cellStyle name="Hyperlink" xfId="1" builtinId="8"/>
    <cellStyle name="Hyperlink 2" xfId="9"/>
    <cellStyle name="Hyperlink 3" xfId="11"/>
    <cellStyle name="Input 10" xfId="128"/>
    <cellStyle name="Input 10 10" xfId="650"/>
    <cellStyle name="Input 10 10 2" xfId="1694"/>
    <cellStyle name="Input 10 10 3" xfId="2736"/>
    <cellStyle name="Input 10 10 4" xfId="3778"/>
    <cellStyle name="Input 10 10 5" xfId="4820"/>
    <cellStyle name="Input 10 11" xfId="545"/>
    <cellStyle name="Input 10 11 2" xfId="1589"/>
    <cellStyle name="Input 10 11 3" xfId="2631"/>
    <cellStyle name="Input 10 11 4" xfId="3673"/>
    <cellStyle name="Input 10 11 5" xfId="4715"/>
    <cellStyle name="Input 10 12" xfId="1104"/>
    <cellStyle name="Input 10 12 2" xfId="2148"/>
    <cellStyle name="Input 10 12 3" xfId="3190"/>
    <cellStyle name="Input 10 12 4" xfId="4232"/>
    <cellStyle name="Input 10 12 5" xfId="5274"/>
    <cellStyle name="Input 10 13" xfId="1173"/>
    <cellStyle name="Input 10 14" xfId="2215"/>
    <cellStyle name="Input 10 15" xfId="3257"/>
    <cellStyle name="Input 10 16" xfId="4299"/>
    <cellStyle name="Input 10 2" xfId="205"/>
    <cellStyle name="Input 10 2 2" xfId="727"/>
    <cellStyle name="Input 10 2 2 2" xfId="1771"/>
    <cellStyle name="Input 10 2 2 3" xfId="2813"/>
    <cellStyle name="Input 10 2 2 4" xfId="3855"/>
    <cellStyle name="Input 10 2 2 5" xfId="4897"/>
    <cellStyle name="Input 10 2 3" xfId="1250"/>
    <cellStyle name="Input 10 2 4" xfId="2292"/>
    <cellStyle name="Input 10 2 5" xfId="3334"/>
    <cellStyle name="Input 10 2 6" xfId="4376"/>
    <cellStyle name="Input 10 3" xfId="217"/>
    <cellStyle name="Input 10 3 2" xfId="739"/>
    <cellStyle name="Input 10 3 2 2" xfId="1783"/>
    <cellStyle name="Input 10 3 2 3" xfId="2825"/>
    <cellStyle name="Input 10 3 2 4" xfId="3867"/>
    <cellStyle name="Input 10 3 2 5" xfId="4909"/>
    <cellStyle name="Input 10 3 3" xfId="1262"/>
    <cellStyle name="Input 10 3 4" xfId="2304"/>
    <cellStyle name="Input 10 3 5" xfId="3346"/>
    <cellStyle name="Input 10 3 6" xfId="4388"/>
    <cellStyle name="Input 10 4" xfId="292"/>
    <cellStyle name="Input 10 4 2" xfId="814"/>
    <cellStyle name="Input 10 4 2 2" xfId="1858"/>
    <cellStyle name="Input 10 4 2 3" xfId="2900"/>
    <cellStyle name="Input 10 4 2 4" xfId="3942"/>
    <cellStyle name="Input 10 4 2 5" xfId="4984"/>
    <cellStyle name="Input 10 4 3" xfId="1337"/>
    <cellStyle name="Input 10 4 4" xfId="2379"/>
    <cellStyle name="Input 10 4 5" xfId="3421"/>
    <cellStyle name="Input 10 4 6" xfId="4463"/>
    <cellStyle name="Input 10 5" xfId="297"/>
    <cellStyle name="Input 10 5 2" xfId="819"/>
    <cellStyle name="Input 10 5 2 2" xfId="1863"/>
    <cellStyle name="Input 10 5 2 3" xfId="2905"/>
    <cellStyle name="Input 10 5 2 4" xfId="3947"/>
    <cellStyle name="Input 10 5 2 5" xfId="4989"/>
    <cellStyle name="Input 10 5 3" xfId="1342"/>
    <cellStyle name="Input 10 5 4" xfId="2384"/>
    <cellStyle name="Input 10 5 5" xfId="3426"/>
    <cellStyle name="Input 10 5 6" xfId="4468"/>
    <cellStyle name="Input 10 6" xfId="424"/>
    <cellStyle name="Input 10 6 2" xfId="930"/>
    <cellStyle name="Input 10 6 2 2" xfId="1974"/>
    <cellStyle name="Input 10 6 2 3" xfId="3016"/>
    <cellStyle name="Input 10 6 2 4" xfId="4058"/>
    <cellStyle name="Input 10 6 2 5" xfId="5100"/>
    <cellStyle name="Input 10 6 3" xfId="1469"/>
    <cellStyle name="Input 10 6 4" xfId="2511"/>
    <cellStyle name="Input 10 6 5" xfId="3553"/>
    <cellStyle name="Input 10 6 6" xfId="4595"/>
    <cellStyle name="Input 10 7" xfId="362"/>
    <cellStyle name="Input 10 7 2" xfId="880"/>
    <cellStyle name="Input 10 7 2 2" xfId="1924"/>
    <cellStyle name="Input 10 7 2 3" xfId="2966"/>
    <cellStyle name="Input 10 7 2 4" xfId="4008"/>
    <cellStyle name="Input 10 7 2 5" xfId="5050"/>
    <cellStyle name="Input 10 7 3" xfId="1407"/>
    <cellStyle name="Input 10 7 4" xfId="2449"/>
    <cellStyle name="Input 10 7 5" xfId="3491"/>
    <cellStyle name="Input 10 7 6" xfId="4533"/>
    <cellStyle name="Input 10 8" xfId="524"/>
    <cellStyle name="Input 10 8 2" xfId="1014"/>
    <cellStyle name="Input 10 8 2 2" xfId="2058"/>
    <cellStyle name="Input 10 8 2 3" xfId="3100"/>
    <cellStyle name="Input 10 8 2 4" xfId="4142"/>
    <cellStyle name="Input 10 8 2 5" xfId="5184"/>
    <cellStyle name="Input 10 8 3" xfId="1568"/>
    <cellStyle name="Input 10 8 4" xfId="2610"/>
    <cellStyle name="Input 10 8 5" xfId="3652"/>
    <cellStyle name="Input 10 8 6" xfId="4694"/>
    <cellStyle name="Input 10 9" xfId="547"/>
    <cellStyle name="Input 10 9 2" xfId="1030"/>
    <cellStyle name="Input 10 9 2 2" xfId="2074"/>
    <cellStyle name="Input 10 9 2 3" xfId="3116"/>
    <cellStyle name="Input 10 9 2 4" xfId="4158"/>
    <cellStyle name="Input 10 9 2 5" xfId="5200"/>
    <cellStyle name="Input 10 9 3" xfId="1591"/>
    <cellStyle name="Input 10 9 4" xfId="2633"/>
    <cellStyle name="Input 10 9 5" xfId="3675"/>
    <cellStyle name="Input 10 9 6" xfId="4717"/>
    <cellStyle name="Input 11" xfId="157"/>
    <cellStyle name="Input 11 10" xfId="580"/>
    <cellStyle name="Input 11 10 2" xfId="1624"/>
    <cellStyle name="Input 11 10 3" xfId="2666"/>
    <cellStyle name="Input 11 10 4" xfId="3708"/>
    <cellStyle name="Input 11 10 5" xfId="4750"/>
    <cellStyle name="Input 11 11" xfId="1053"/>
    <cellStyle name="Input 11 11 2" xfId="2097"/>
    <cellStyle name="Input 11 11 3" xfId="3139"/>
    <cellStyle name="Input 11 11 4" xfId="4181"/>
    <cellStyle name="Input 11 11 5" xfId="5223"/>
    <cellStyle name="Input 11 12" xfId="1202"/>
    <cellStyle name="Input 11 13" xfId="2244"/>
    <cellStyle name="Input 11 14" xfId="3286"/>
    <cellStyle name="Input 11 15" xfId="4328"/>
    <cellStyle name="Input 11 2" xfId="153"/>
    <cellStyle name="Input 11 2 2" xfId="675"/>
    <cellStyle name="Input 11 2 2 2" xfId="1719"/>
    <cellStyle name="Input 11 2 2 3" xfId="2761"/>
    <cellStyle name="Input 11 2 2 4" xfId="3803"/>
    <cellStyle name="Input 11 2 2 5" xfId="4845"/>
    <cellStyle name="Input 11 2 3" xfId="1198"/>
    <cellStyle name="Input 11 2 4" xfId="2240"/>
    <cellStyle name="Input 11 2 5" xfId="3282"/>
    <cellStyle name="Input 11 2 6" xfId="4324"/>
    <cellStyle name="Input 11 3" xfId="243"/>
    <cellStyle name="Input 11 3 2" xfId="765"/>
    <cellStyle name="Input 11 3 2 2" xfId="1809"/>
    <cellStyle name="Input 11 3 2 3" xfId="2851"/>
    <cellStyle name="Input 11 3 2 4" xfId="3893"/>
    <cellStyle name="Input 11 3 2 5" xfId="4935"/>
    <cellStyle name="Input 11 3 3" xfId="1288"/>
    <cellStyle name="Input 11 3 4" xfId="2330"/>
    <cellStyle name="Input 11 3 5" xfId="3372"/>
    <cellStyle name="Input 11 3 6" xfId="4414"/>
    <cellStyle name="Input 11 4" xfId="120"/>
    <cellStyle name="Input 11 4 2" xfId="642"/>
    <cellStyle name="Input 11 4 2 2" xfId="1686"/>
    <cellStyle name="Input 11 4 2 3" xfId="2728"/>
    <cellStyle name="Input 11 4 2 4" xfId="3770"/>
    <cellStyle name="Input 11 4 2 5" xfId="4812"/>
    <cellStyle name="Input 11 4 3" xfId="1165"/>
    <cellStyle name="Input 11 4 4" xfId="2207"/>
    <cellStyle name="Input 11 4 5" xfId="3249"/>
    <cellStyle name="Input 11 4 6" xfId="4291"/>
    <cellStyle name="Input 11 5" xfId="373"/>
    <cellStyle name="Input 11 5 2" xfId="886"/>
    <cellStyle name="Input 11 5 2 2" xfId="1930"/>
    <cellStyle name="Input 11 5 2 3" xfId="2972"/>
    <cellStyle name="Input 11 5 2 4" xfId="4014"/>
    <cellStyle name="Input 11 5 2 5" xfId="5056"/>
    <cellStyle name="Input 11 5 3" xfId="1418"/>
    <cellStyle name="Input 11 5 4" xfId="2460"/>
    <cellStyle name="Input 11 5 5" xfId="3502"/>
    <cellStyle name="Input 11 5 6" xfId="4544"/>
    <cellStyle name="Input 11 6" xfId="465"/>
    <cellStyle name="Input 11 6 2" xfId="957"/>
    <cellStyle name="Input 11 6 2 2" xfId="2001"/>
    <cellStyle name="Input 11 6 2 3" xfId="3043"/>
    <cellStyle name="Input 11 6 2 4" xfId="4085"/>
    <cellStyle name="Input 11 6 2 5" xfId="5127"/>
    <cellStyle name="Input 11 6 3" xfId="1509"/>
    <cellStyle name="Input 11 6 4" xfId="2551"/>
    <cellStyle name="Input 11 6 5" xfId="3593"/>
    <cellStyle name="Input 11 6 6" xfId="4635"/>
    <cellStyle name="Input 11 7" xfId="458"/>
    <cellStyle name="Input 11 7 2" xfId="952"/>
    <cellStyle name="Input 11 7 2 2" xfId="1996"/>
    <cellStyle name="Input 11 7 2 3" xfId="3038"/>
    <cellStyle name="Input 11 7 2 4" xfId="4080"/>
    <cellStyle name="Input 11 7 2 5" xfId="5122"/>
    <cellStyle name="Input 11 7 3" xfId="1502"/>
    <cellStyle name="Input 11 7 4" xfId="2544"/>
    <cellStyle name="Input 11 7 5" xfId="3586"/>
    <cellStyle name="Input 11 7 6" xfId="4628"/>
    <cellStyle name="Input 11 8" xfId="519"/>
    <cellStyle name="Input 11 8 2" xfId="1009"/>
    <cellStyle name="Input 11 8 2 2" xfId="2053"/>
    <cellStyle name="Input 11 8 2 3" xfId="3095"/>
    <cellStyle name="Input 11 8 2 4" xfId="4137"/>
    <cellStyle name="Input 11 8 2 5" xfId="5179"/>
    <cellStyle name="Input 11 8 3" xfId="1563"/>
    <cellStyle name="Input 11 8 4" xfId="2605"/>
    <cellStyle name="Input 11 8 5" xfId="3647"/>
    <cellStyle name="Input 11 8 6" xfId="4689"/>
    <cellStyle name="Input 11 9" xfId="679"/>
    <cellStyle name="Input 11 9 2" xfId="1723"/>
    <cellStyle name="Input 11 9 3" xfId="2765"/>
    <cellStyle name="Input 11 9 4" xfId="3807"/>
    <cellStyle name="Input 11 9 5" xfId="4849"/>
    <cellStyle name="Input 12" xfId="115"/>
    <cellStyle name="Input 12 2" xfId="636"/>
    <cellStyle name="Input 12 2 2" xfId="1680"/>
    <cellStyle name="Input 12 2 3" xfId="2722"/>
    <cellStyle name="Input 12 2 4" xfId="3764"/>
    <cellStyle name="Input 12 2 5" xfId="4806"/>
    <cellStyle name="Input 12 3" xfId="1159"/>
    <cellStyle name="Input 12 4" xfId="2201"/>
    <cellStyle name="Input 12 5" xfId="3243"/>
    <cellStyle name="Input 12 6" xfId="4285"/>
    <cellStyle name="Input 13" xfId="54"/>
    <cellStyle name="Input 2" xfId="78"/>
    <cellStyle name="Input 2 10" xfId="599"/>
    <cellStyle name="Input 2 10 2" xfId="1643"/>
    <cellStyle name="Input 2 10 3" xfId="2685"/>
    <cellStyle name="Input 2 10 4" xfId="3727"/>
    <cellStyle name="Input 2 10 5" xfId="4769"/>
    <cellStyle name="Input 2 11" xfId="329"/>
    <cellStyle name="Input 2 11 2" xfId="1374"/>
    <cellStyle name="Input 2 11 3" xfId="2416"/>
    <cellStyle name="Input 2 11 4" xfId="3458"/>
    <cellStyle name="Input 2 11 5" xfId="4500"/>
    <cellStyle name="Input 2 12" xfId="1068"/>
    <cellStyle name="Input 2 12 2" xfId="2112"/>
    <cellStyle name="Input 2 12 3" xfId="3154"/>
    <cellStyle name="Input 2 12 4" xfId="4196"/>
    <cellStyle name="Input 2 12 5" xfId="5238"/>
    <cellStyle name="Input 2 13" xfId="1122"/>
    <cellStyle name="Input 2 14" xfId="2164"/>
    <cellStyle name="Input 2 15" xfId="3206"/>
    <cellStyle name="Input 2 16" xfId="4248"/>
    <cellStyle name="Input 2 2" xfId="173"/>
    <cellStyle name="Input 2 2 2" xfId="694"/>
    <cellStyle name="Input 2 2 2 2" xfId="1738"/>
    <cellStyle name="Input 2 2 2 3" xfId="2780"/>
    <cellStyle name="Input 2 2 2 4" xfId="3822"/>
    <cellStyle name="Input 2 2 2 5" xfId="4864"/>
    <cellStyle name="Input 2 2 3" xfId="1217"/>
    <cellStyle name="Input 2 2 4" xfId="2259"/>
    <cellStyle name="Input 2 2 5" xfId="3301"/>
    <cellStyle name="Input 2 2 6" xfId="4343"/>
    <cellStyle name="Input 2 3" xfId="238"/>
    <cellStyle name="Input 2 3 2" xfId="760"/>
    <cellStyle name="Input 2 3 2 2" xfId="1804"/>
    <cellStyle name="Input 2 3 2 3" xfId="2846"/>
    <cellStyle name="Input 2 3 2 4" xfId="3888"/>
    <cellStyle name="Input 2 3 2 5" xfId="4930"/>
    <cellStyle name="Input 2 3 3" xfId="1283"/>
    <cellStyle name="Input 2 3 4" xfId="2325"/>
    <cellStyle name="Input 2 3 5" xfId="3367"/>
    <cellStyle name="Input 2 3 6" xfId="4409"/>
    <cellStyle name="Input 2 4" xfId="261"/>
    <cellStyle name="Input 2 4 2" xfId="783"/>
    <cellStyle name="Input 2 4 2 2" xfId="1827"/>
    <cellStyle name="Input 2 4 2 3" xfId="2869"/>
    <cellStyle name="Input 2 4 2 4" xfId="3911"/>
    <cellStyle name="Input 2 4 2 5" xfId="4953"/>
    <cellStyle name="Input 2 4 3" xfId="1306"/>
    <cellStyle name="Input 2 4 4" xfId="2348"/>
    <cellStyle name="Input 2 4 5" xfId="3390"/>
    <cellStyle name="Input 2 4 6" xfId="4432"/>
    <cellStyle name="Input 2 5" xfId="317"/>
    <cellStyle name="Input 2 5 2" xfId="839"/>
    <cellStyle name="Input 2 5 2 2" xfId="1883"/>
    <cellStyle name="Input 2 5 2 3" xfId="2925"/>
    <cellStyle name="Input 2 5 2 4" xfId="3967"/>
    <cellStyle name="Input 2 5 2 5" xfId="5009"/>
    <cellStyle name="Input 2 5 3" xfId="1362"/>
    <cellStyle name="Input 2 5 4" xfId="2404"/>
    <cellStyle name="Input 2 5 5" xfId="3446"/>
    <cellStyle name="Input 2 5 6" xfId="4488"/>
    <cellStyle name="Input 2 6" xfId="388"/>
    <cellStyle name="Input 2 6 2" xfId="900"/>
    <cellStyle name="Input 2 6 2 2" xfId="1944"/>
    <cellStyle name="Input 2 6 2 3" xfId="2986"/>
    <cellStyle name="Input 2 6 2 4" xfId="4028"/>
    <cellStyle name="Input 2 6 2 5" xfId="5070"/>
    <cellStyle name="Input 2 6 3" xfId="1433"/>
    <cellStyle name="Input 2 6 4" xfId="2475"/>
    <cellStyle name="Input 2 6 5" xfId="3517"/>
    <cellStyle name="Input 2 6 6" xfId="4559"/>
    <cellStyle name="Input 2 7" xfId="343"/>
    <cellStyle name="Input 2 7 2" xfId="861"/>
    <cellStyle name="Input 2 7 2 2" xfId="1905"/>
    <cellStyle name="Input 2 7 2 3" xfId="2947"/>
    <cellStyle name="Input 2 7 2 4" xfId="3989"/>
    <cellStyle name="Input 2 7 2 5" xfId="5031"/>
    <cellStyle name="Input 2 7 3" xfId="1388"/>
    <cellStyle name="Input 2 7 4" xfId="2430"/>
    <cellStyle name="Input 2 7 5" xfId="3472"/>
    <cellStyle name="Input 2 7 6" xfId="4514"/>
    <cellStyle name="Input 2 8" xfId="490"/>
    <cellStyle name="Input 2 8 2" xfId="980"/>
    <cellStyle name="Input 2 8 2 2" xfId="2024"/>
    <cellStyle name="Input 2 8 2 3" xfId="3066"/>
    <cellStyle name="Input 2 8 2 4" xfId="4108"/>
    <cellStyle name="Input 2 8 2 5" xfId="5150"/>
    <cellStyle name="Input 2 8 3" xfId="1534"/>
    <cellStyle name="Input 2 8 4" xfId="2576"/>
    <cellStyle name="Input 2 8 5" xfId="3618"/>
    <cellStyle name="Input 2 8 6" xfId="4660"/>
    <cellStyle name="Input 2 9" xfId="557"/>
    <cellStyle name="Input 2 9 2" xfId="1039"/>
    <cellStyle name="Input 2 9 2 2" xfId="2083"/>
    <cellStyle name="Input 2 9 2 3" xfId="3125"/>
    <cellStyle name="Input 2 9 2 4" xfId="4167"/>
    <cellStyle name="Input 2 9 2 5" xfId="5209"/>
    <cellStyle name="Input 2 9 3" xfId="1601"/>
    <cellStyle name="Input 2 9 4" xfId="2643"/>
    <cellStyle name="Input 2 9 5" xfId="3685"/>
    <cellStyle name="Input 2 9 6" xfId="4727"/>
    <cellStyle name="Input 3" xfId="73"/>
    <cellStyle name="Input 3 10" xfId="594"/>
    <cellStyle name="Input 3 10 2" xfId="1638"/>
    <cellStyle name="Input 3 10 3" xfId="2680"/>
    <cellStyle name="Input 3 10 4" xfId="3722"/>
    <cellStyle name="Input 3 10 5" xfId="4764"/>
    <cellStyle name="Input 3 11" xfId="430"/>
    <cellStyle name="Input 3 11 2" xfId="1475"/>
    <cellStyle name="Input 3 11 3" xfId="2517"/>
    <cellStyle name="Input 3 11 4" xfId="3559"/>
    <cellStyle name="Input 3 11 5" xfId="4601"/>
    <cellStyle name="Input 3 12" xfId="1063"/>
    <cellStyle name="Input 3 12 2" xfId="2107"/>
    <cellStyle name="Input 3 12 3" xfId="3149"/>
    <cellStyle name="Input 3 12 4" xfId="4191"/>
    <cellStyle name="Input 3 12 5" xfId="5233"/>
    <cellStyle name="Input 3 13" xfId="1117"/>
    <cellStyle name="Input 3 14" xfId="2159"/>
    <cellStyle name="Input 3 15" xfId="3201"/>
    <cellStyle name="Input 3 16" xfId="4243"/>
    <cellStyle name="Input 3 2" xfId="168"/>
    <cellStyle name="Input 3 2 2" xfId="689"/>
    <cellStyle name="Input 3 2 2 2" xfId="1733"/>
    <cellStyle name="Input 3 2 2 3" xfId="2775"/>
    <cellStyle name="Input 3 2 2 4" xfId="3817"/>
    <cellStyle name="Input 3 2 2 5" xfId="4859"/>
    <cellStyle name="Input 3 2 3" xfId="1212"/>
    <cellStyle name="Input 3 2 4" xfId="2254"/>
    <cellStyle name="Input 3 2 5" xfId="3296"/>
    <cellStyle name="Input 3 2 6" xfId="4338"/>
    <cellStyle name="Input 3 3" xfId="224"/>
    <cellStyle name="Input 3 3 2" xfId="746"/>
    <cellStyle name="Input 3 3 2 2" xfId="1790"/>
    <cellStyle name="Input 3 3 2 3" xfId="2832"/>
    <cellStyle name="Input 3 3 2 4" xfId="3874"/>
    <cellStyle name="Input 3 3 2 5" xfId="4916"/>
    <cellStyle name="Input 3 3 3" xfId="1269"/>
    <cellStyle name="Input 3 3 4" xfId="2311"/>
    <cellStyle name="Input 3 3 5" xfId="3353"/>
    <cellStyle name="Input 3 3 6" xfId="4395"/>
    <cellStyle name="Input 3 4" xfId="256"/>
    <cellStyle name="Input 3 4 2" xfId="778"/>
    <cellStyle name="Input 3 4 2 2" xfId="1822"/>
    <cellStyle name="Input 3 4 2 3" xfId="2864"/>
    <cellStyle name="Input 3 4 2 4" xfId="3906"/>
    <cellStyle name="Input 3 4 2 5" xfId="4948"/>
    <cellStyle name="Input 3 4 3" xfId="1301"/>
    <cellStyle name="Input 3 4 4" xfId="2343"/>
    <cellStyle name="Input 3 4 5" xfId="3385"/>
    <cellStyle name="Input 3 4 6" xfId="4427"/>
    <cellStyle name="Input 3 5" xfId="303"/>
    <cellStyle name="Input 3 5 2" xfId="825"/>
    <cellStyle name="Input 3 5 2 2" xfId="1869"/>
    <cellStyle name="Input 3 5 2 3" xfId="2911"/>
    <cellStyle name="Input 3 5 2 4" xfId="3953"/>
    <cellStyle name="Input 3 5 2 5" xfId="4995"/>
    <cellStyle name="Input 3 5 3" xfId="1348"/>
    <cellStyle name="Input 3 5 4" xfId="2390"/>
    <cellStyle name="Input 3 5 5" xfId="3432"/>
    <cellStyle name="Input 3 5 6" xfId="4474"/>
    <cellStyle name="Input 3 6" xfId="383"/>
    <cellStyle name="Input 3 6 2" xfId="895"/>
    <cellStyle name="Input 3 6 2 2" xfId="1939"/>
    <cellStyle name="Input 3 6 2 3" xfId="2981"/>
    <cellStyle name="Input 3 6 2 4" xfId="4023"/>
    <cellStyle name="Input 3 6 2 5" xfId="5065"/>
    <cellStyle name="Input 3 6 3" xfId="1428"/>
    <cellStyle name="Input 3 6 4" xfId="2470"/>
    <cellStyle name="Input 3 6 5" xfId="3512"/>
    <cellStyle name="Input 3 6 6" xfId="4554"/>
    <cellStyle name="Input 3 7" xfId="338"/>
    <cellStyle name="Input 3 7 2" xfId="856"/>
    <cellStyle name="Input 3 7 2 2" xfId="1900"/>
    <cellStyle name="Input 3 7 2 3" xfId="2942"/>
    <cellStyle name="Input 3 7 2 4" xfId="3984"/>
    <cellStyle name="Input 3 7 2 5" xfId="5026"/>
    <cellStyle name="Input 3 7 3" xfId="1383"/>
    <cellStyle name="Input 3 7 4" xfId="2425"/>
    <cellStyle name="Input 3 7 5" xfId="3467"/>
    <cellStyle name="Input 3 7 6" xfId="4509"/>
    <cellStyle name="Input 3 8" xfId="485"/>
    <cellStyle name="Input 3 8 2" xfId="975"/>
    <cellStyle name="Input 3 8 2 2" xfId="2019"/>
    <cellStyle name="Input 3 8 2 3" xfId="3061"/>
    <cellStyle name="Input 3 8 2 4" xfId="4103"/>
    <cellStyle name="Input 3 8 2 5" xfId="5145"/>
    <cellStyle name="Input 3 8 3" xfId="1529"/>
    <cellStyle name="Input 3 8 4" xfId="2571"/>
    <cellStyle name="Input 3 8 5" xfId="3613"/>
    <cellStyle name="Input 3 8 6" xfId="4655"/>
    <cellStyle name="Input 3 9" xfId="538"/>
    <cellStyle name="Input 3 9 2" xfId="1025"/>
    <cellStyle name="Input 3 9 2 2" xfId="2069"/>
    <cellStyle name="Input 3 9 2 3" xfId="3111"/>
    <cellStyle name="Input 3 9 2 4" xfId="4153"/>
    <cellStyle name="Input 3 9 2 5" xfId="5195"/>
    <cellStyle name="Input 3 9 3" xfId="1582"/>
    <cellStyle name="Input 3 9 4" xfId="2624"/>
    <cellStyle name="Input 3 9 5" xfId="3666"/>
    <cellStyle name="Input 3 9 6" xfId="4708"/>
    <cellStyle name="Input 4" xfId="70"/>
    <cellStyle name="Input 4 10" xfId="591"/>
    <cellStyle name="Input 4 10 2" xfId="1635"/>
    <cellStyle name="Input 4 10 3" xfId="2677"/>
    <cellStyle name="Input 4 10 4" xfId="3719"/>
    <cellStyle name="Input 4 10 5" xfId="4761"/>
    <cellStyle name="Input 4 11" xfId="585"/>
    <cellStyle name="Input 4 11 2" xfId="1629"/>
    <cellStyle name="Input 4 11 3" xfId="2671"/>
    <cellStyle name="Input 4 11 4" xfId="3713"/>
    <cellStyle name="Input 4 11 5" xfId="4755"/>
    <cellStyle name="Input 4 12" xfId="1060"/>
    <cellStyle name="Input 4 12 2" xfId="2104"/>
    <cellStyle name="Input 4 12 3" xfId="3146"/>
    <cellStyle name="Input 4 12 4" xfId="4188"/>
    <cellStyle name="Input 4 12 5" xfId="5230"/>
    <cellStyle name="Input 4 13" xfId="1114"/>
    <cellStyle name="Input 4 14" xfId="2156"/>
    <cellStyle name="Input 4 15" xfId="3198"/>
    <cellStyle name="Input 4 16" xfId="4240"/>
    <cellStyle name="Input 4 2" xfId="165"/>
    <cellStyle name="Input 4 2 2" xfId="686"/>
    <cellStyle name="Input 4 2 2 2" xfId="1730"/>
    <cellStyle name="Input 4 2 2 3" xfId="2772"/>
    <cellStyle name="Input 4 2 2 4" xfId="3814"/>
    <cellStyle name="Input 4 2 2 5" xfId="4856"/>
    <cellStyle name="Input 4 2 3" xfId="1209"/>
    <cellStyle name="Input 4 2 4" xfId="2251"/>
    <cellStyle name="Input 4 2 5" xfId="3293"/>
    <cellStyle name="Input 4 2 6" xfId="4335"/>
    <cellStyle name="Input 4 3" xfId="250"/>
    <cellStyle name="Input 4 3 2" xfId="772"/>
    <cellStyle name="Input 4 3 2 2" xfId="1816"/>
    <cellStyle name="Input 4 3 2 3" xfId="2858"/>
    <cellStyle name="Input 4 3 2 4" xfId="3900"/>
    <cellStyle name="Input 4 3 2 5" xfId="4942"/>
    <cellStyle name="Input 4 3 3" xfId="1295"/>
    <cellStyle name="Input 4 3 4" xfId="2337"/>
    <cellStyle name="Input 4 3 5" xfId="3379"/>
    <cellStyle name="Input 4 3 6" xfId="4421"/>
    <cellStyle name="Input 4 4" xfId="253"/>
    <cellStyle name="Input 4 4 2" xfId="775"/>
    <cellStyle name="Input 4 4 2 2" xfId="1819"/>
    <cellStyle name="Input 4 4 2 3" xfId="2861"/>
    <cellStyle name="Input 4 4 2 4" xfId="3903"/>
    <cellStyle name="Input 4 4 2 5" xfId="4945"/>
    <cellStyle name="Input 4 4 3" xfId="1298"/>
    <cellStyle name="Input 4 4 4" xfId="2340"/>
    <cellStyle name="Input 4 4 5" xfId="3382"/>
    <cellStyle name="Input 4 4 6" xfId="4424"/>
    <cellStyle name="Input 4 5" xfId="325"/>
    <cellStyle name="Input 4 5 2" xfId="847"/>
    <cellStyle name="Input 4 5 2 2" xfId="1891"/>
    <cellStyle name="Input 4 5 2 3" xfId="2933"/>
    <cellStyle name="Input 4 5 2 4" xfId="3975"/>
    <cellStyle name="Input 4 5 2 5" xfId="5017"/>
    <cellStyle name="Input 4 5 3" xfId="1370"/>
    <cellStyle name="Input 4 5 4" xfId="2412"/>
    <cellStyle name="Input 4 5 5" xfId="3454"/>
    <cellStyle name="Input 4 5 6" xfId="4496"/>
    <cellStyle name="Input 4 6" xfId="380"/>
    <cellStyle name="Input 4 6 2" xfId="892"/>
    <cellStyle name="Input 4 6 2 2" xfId="1936"/>
    <cellStyle name="Input 4 6 2 3" xfId="2978"/>
    <cellStyle name="Input 4 6 2 4" xfId="4020"/>
    <cellStyle name="Input 4 6 2 5" xfId="5062"/>
    <cellStyle name="Input 4 6 3" xfId="1425"/>
    <cellStyle name="Input 4 6 4" xfId="2467"/>
    <cellStyle name="Input 4 6 5" xfId="3509"/>
    <cellStyle name="Input 4 6 6" xfId="4551"/>
    <cellStyle name="Input 4 7" xfId="335"/>
    <cellStyle name="Input 4 7 2" xfId="853"/>
    <cellStyle name="Input 4 7 2 2" xfId="1897"/>
    <cellStyle name="Input 4 7 2 3" xfId="2939"/>
    <cellStyle name="Input 4 7 2 4" xfId="3981"/>
    <cellStyle name="Input 4 7 2 5" xfId="5023"/>
    <cellStyle name="Input 4 7 3" xfId="1380"/>
    <cellStyle name="Input 4 7 4" xfId="2422"/>
    <cellStyle name="Input 4 7 5" xfId="3464"/>
    <cellStyle name="Input 4 7 6" xfId="4506"/>
    <cellStyle name="Input 4 8" xfId="482"/>
    <cellStyle name="Input 4 8 2" xfId="972"/>
    <cellStyle name="Input 4 8 2 2" xfId="2016"/>
    <cellStyle name="Input 4 8 2 3" xfId="3058"/>
    <cellStyle name="Input 4 8 2 4" xfId="4100"/>
    <cellStyle name="Input 4 8 2 5" xfId="5142"/>
    <cellStyle name="Input 4 8 3" xfId="1526"/>
    <cellStyle name="Input 4 8 4" xfId="2568"/>
    <cellStyle name="Input 4 8 5" xfId="3610"/>
    <cellStyle name="Input 4 8 6" xfId="4652"/>
    <cellStyle name="Input 4 9" xfId="441"/>
    <cellStyle name="Input 4 9 2" xfId="941"/>
    <cellStyle name="Input 4 9 2 2" xfId="1985"/>
    <cellStyle name="Input 4 9 2 3" xfId="3027"/>
    <cellStyle name="Input 4 9 2 4" xfId="4069"/>
    <cellStyle name="Input 4 9 2 5" xfId="5111"/>
    <cellStyle name="Input 4 9 3" xfId="1485"/>
    <cellStyle name="Input 4 9 4" xfId="2527"/>
    <cellStyle name="Input 4 9 5" xfId="3569"/>
    <cellStyle name="Input 4 9 6" xfId="4611"/>
    <cellStyle name="Input 5" xfId="83"/>
    <cellStyle name="Input 5 10" xfId="604"/>
    <cellStyle name="Input 5 10 2" xfId="1648"/>
    <cellStyle name="Input 5 10 3" xfId="2690"/>
    <cellStyle name="Input 5 10 4" xfId="3732"/>
    <cellStyle name="Input 5 10 5" xfId="4774"/>
    <cellStyle name="Input 5 11" xfId="581"/>
    <cellStyle name="Input 5 11 2" xfId="1625"/>
    <cellStyle name="Input 5 11 3" xfId="2667"/>
    <cellStyle name="Input 5 11 4" xfId="3709"/>
    <cellStyle name="Input 5 11 5" xfId="4751"/>
    <cellStyle name="Input 5 12" xfId="1073"/>
    <cellStyle name="Input 5 12 2" xfId="2117"/>
    <cellStyle name="Input 5 12 3" xfId="3159"/>
    <cellStyle name="Input 5 12 4" xfId="4201"/>
    <cellStyle name="Input 5 12 5" xfId="5243"/>
    <cellStyle name="Input 5 13" xfId="1127"/>
    <cellStyle name="Input 5 14" xfId="2169"/>
    <cellStyle name="Input 5 15" xfId="3211"/>
    <cellStyle name="Input 5 16" xfId="4253"/>
    <cellStyle name="Input 5 2" xfId="178"/>
    <cellStyle name="Input 5 2 2" xfId="699"/>
    <cellStyle name="Input 5 2 2 2" xfId="1743"/>
    <cellStyle name="Input 5 2 2 3" xfId="2785"/>
    <cellStyle name="Input 5 2 2 4" xfId="3827"/>
    <cellStyle name="Input 5 2 2 5" xfId="4869"/>
    <cellStyle name="Input 5 2 3" xfId="1222"/>
    <cellStyle name="Input 5 2 4" xfId="2264"/>
    <cellStyle name="Input 5 2 5" xfId="3306"/>
    <cellStyle name="Input 5 2 6" xfId="4348"/>
    <cellStyle name="Input 5 3" xfId="134"/>
    <cellStyle name="Input 5 3 2" xfId="656"/>
    <cellStyle name="Input 5 3 2 2" xfId="1700"/>
    <cellStyle name="Input 5 3 2 3" xfId="2742"/>
    <cellStyle name="Input 5 3 2 4" xfId="3784"/>
    <cellStyle name="Input 5 3 2 5" xfId="4826"/>
    <cellStyle name="Input 5 3 3" xfId="1179"/>
    <cellStyle name="Input 5 3 4" xfId="2221"/>
    <cellStyle name="Input 5 3 5" xfId="3263"/>
    <cellStyle name="Input 5 3 6" xfId="4305"/>
    <cellStyle name="Input 5 4" xfId="266"/>
    <cellStyle name="Input 5 4 2" xfId="788"/>
    <cellStyle name="Input 5 4 2 2" xfId="1832"/>
    <cellStyle name="Input 5 4 2 3" xfId="2874"/>
    <cellStyle name="Input 5 4 2 4" xfId="3916"/>
    <cellStyle name="Input 5 4 2 5" xfId="4958"/>
    <cellStyle name="Input 5 4 3" xfId="1311"/>
    <cellStyle name="Input 5 4 4" xfId="2353"/>
    <cellStyle name="Input 5 4 5" xfId="3395"/>
    <cellStyle name="Input 5 4 6" xfId="4437"/>
    <cellStyle name="Input 5 5" xfId="136"/>
    <cellStyle name="Input 5 5 2" xfId="658"/>
    <cellStyle name="Input 5 5 2 2" xfId="1702"/>
    <cellStyle name="Input 5 5 2 3" xfId="2744"/>
    <cellStyle name="Input 5 5 2 4" xfId="3786"/>
    <cellStyle name="Input 5 5 2 5" xfId="4828"/>
    <cellStyle name="Input 5 5 3" xfId="1181"/>
    <cellStyle name="Input 5 5 4" xfId="2223"/>
    <cellStyle name="Input 5 5 5" xfId="3265"/>
    <cellStyle name="Input 5 5 6" xfId="4307"/>
    <cellStyle name="Input 5 6" xfId="393"/>
    <cellStyle name="Input 5 6 2" xfId="905"/>
    <cellStyle name="Input 5 6 2 2" xfId="1949"/>
    <cellStyle name="Input 5 6 2 3" xfId="2991"/>
    <cellStyle name="Input 5 6 2 4" xfId="4033"/>
    <cellStyle name="Input 5 6 2 5" xfId="5075"/>
    <cellStyle name="Input 5 6 3" xfId="1438"/>
    <cellStyle name="Input 5 6 4" xfId="2480"/>
    <cellStyle name="Input 5 6 5" xfId="3522"/>
    <cellStyle name="Input 5 6 6" xfId="4564"/>
    <cellStyle name="Input 5 7" xfId="468"/>
    <cellStyle name="Input 5 7 2" xfId="960"/>
    <cellStyle name="Input 5 7 2 2" xfId="2004"/>
    <cellStyle name="Input 5 7 2 3" xfId="3046"/>
    <cellStyle name="Input 5 7 2 4" xfId="4088"/>
    <cellStyle name="Input 5 7 2 5" xfId="5130"/>
    <cellStyle name="Input 5 7 3" xfId="1512"/>
    <cellStyle name="Input 5 7 4" xfId="2554"/>
    <cellStyle name="Input 5 7 5" xfId="3596"/>
    <cellStyle name="Input 5 7 6" xfId="4638"/>
    <cellStyle name="Input 5 8" xfId="495"/>
    <cellStyle name="Input 5 8 2" xfId="985"/>
    <cellStyle name="Input 5 8 2 2" xfId="2029"/>
    <cellStyle name="Input 5 8 2 3" xfId="3071"/>
    <cellStyle name="Input 5 8 2 4" xfId="4113"/>
    <cellStyle name="Input 5 8 2 5" xfId="5155"/>
    <cellStyle name="Input 5 8 3" xfId="1539"/>
    <cellStyle name="Input 5 8 4" xfId="2581"/>
    <cellStyle name="Input 5 8 5" xfId="3623"/>
    <cellStyle name="Input 5 8 6" xfId="4665"/>
    <cellStyle name="Input 5 9" xfId="498"/>
    <cellStyle name="Input 5 9 2" xfId="988"/>
    <cellStyle name="Input 5 9 2 2" xfId="2032"/>
    <cellStyle name="Input 5 9 2 3" xfId="3074"/>
    <cellStyle name="Input 5 9 2 4" xfId="4116"/>
    <cellStyle name="Input 5 9 2 5" xfId="5158"/>
    <cellStyle name="Input 5 9 3" xfId="1542"/>
    <cellStyle name="Input 5 9 4" xfId="2584"/>
    <cellStyle name="Input 5 9 5" xfId="3626"/>
    <cellStyle name="Input 5 9 6" xfId="4668"/>
    <cellStyle name="Input 6" xfId="89"/>
    <cellStyle name="Input 6 10" xfId="610"/>
    <cellStyle name="Input 6 10 2" xfId="1654"/>
    <cellStyle name="Input 6 10 3" xfId="2696"/>
    <cellStyle name="Input 6 10 4" xfId="3738"/>
    <cellStyle name="Input 6 10 5" xfId="4780"/>
    <cellStyle name="Input 6 11" xfId="575"/>
    <cellStyle name="Input 6 11 2" xfId="1619"/>
    <cellStyle name="Input 6 11 3" xfId="2661"/>
    <cellStyle name="Input 6 11 4" xfId="3703"/>
    <cellStyle name="Input 6 11 5" xfId="4745"/>
    <cellStyle name="Input 6 12" xfId="1079"/>
    <cellStyle name="Input 6 12 2" xfId="2123"/>
    <cellStyle name="Input 6 12 3" xfId="3165"/>
    <cellStyle name="Input 6 12 4" xfId="4207"/>
    <cellStyle name="Input 6 12 5" xfId="5249"/>
    <cellStyle name="Input 6 13" xfId="1133"/>
    <cellStyle name="Input 6 14" xfId="2175"/>
    <cellStyle name="Input 6 15" xfId="3217"/>
    <cellStyle name="Input 6 16" xfId="4259"/>
    <cellStyle name="Input 6 2" xfId="183"/>
    <cellStyle name="Input 6 2 2" xfId="705"/>
    <cellStyle name="Input 6 2 2 2" xfId="1749"/>
    <cellStyle name="Input 6 2 2 3" xfId="2791"/>
    <cellStyle name="Input 6 2 2 4" xfId="3833"/>
    <cellStyle name="Input 6 2 2 5" xfId="4875"/>
    <cellStyle name="Input 6 2 3" xfId="1228"/>
    <cellStyle name="Input 6 2 4" xfId="2270"/>
    <cellStyle name="Input 6 2 5" xfId="3312"/>
    <cellStyle name="Input 6 2 6" xfId="4354"/>
    <cellStyle name="Input 6 3" xfId="144"/>
    <cellStyle name="Input 6 3 2" xfId="666"/>
    <cellStyle name="Input 6 3 2 2" xfId="1710"/>
    <cellStyle name="Input 6 3 2 3" xfId="2752"/>
    <cellStyle name="Input 6 3 2 4" xfId="3794"/>
    <cellStyle name="Input 6 3 2 5" xfId="4836"/>
    <cellStyle name="Input 6 3 3" xfId="1189"/>
    <cellStyle name="Input 6 3 4" xfId="2231"/>
    <cellStyle name="Input 6 3 5" xfId="3273"/>
    <cellStyle name="Input 6 3 6" xfId="4315"/>
    <cellStyle name="Input 6 4" xfId="269"/>
    <cellStyle name="Input 6 4 2" xfId="791"/>
    <cellStyle name="Input 6 4 2 2" xfId="1835"/>
    <cellStyle name="Input 6 4 2 3" xfId="2877"/>
    <cellStyle name="Input 6 4 2 4" xfId="3919"/>
    <cellStyle name="Input 6 4 2 5" xfId="4961"/>
    <cellStyle name="Input 6 4 3" xfId="1314"/>
    <cellStyle name="Input 6 4 4" xfId="2356"/>
    <cellStyle name="Input 6 4 5" xfId="3398"/>
    <cellStyle name="Input 6 4 6" xfId="4440"/>
    <cellStyle name="Input 6 5" xfId="242"/>
    <cellStyle name="Input 6 5 2" xfId="764"/>
    <cellStyle name="Input 6 5 2 2" xfId="1808"/>
    <cellStyle name="Input 6 5 2 3" xfId="2850"/>
    <cellStyle name="Input 6 5 2 4" xfId="3892"/>
    <cellStyle name="Input 6 5 2 5" xfId="4934"/>
    <cellStyle name="Input 6 5 3" xfId="1287"/>
    <cellStyle name="Input 6 5 4" xfId="2329"/>
    <cellStyle name="Input 6 5 5" xfId="3371"/>
    <cellStyle name="Input 6 5 6" xfId="4413"/>
    <cellStyle name="Input 6 6" xfId="399"/>
    <cellStyle name="Input 6 6 2" xfId="908"/>
    <cellStyle name="Input 6 6 2 2" xfId="1952"/>
    <cellStyle name="Input 6 6 2 3" xfId="2994"/>
    <cellStyle name="Input 6 6 2 4" xfId="4036"/>
    <cellStyle name="Input 6 6 2 5" xfId="5078"/>
    <cellStyle name="Input 6 6 3" xfId="1444"/>
    <cellStyle name="Input 6 6 4" xfId="2486"/>
    <cellStyle name="Input 6 6 5" xfId="3528"/>
    <cellStyle name="Input 6 6 6" xfId="4570"/>
    <cellStyle name="Input 6 7" xfId="438"/>
    <cellStyle name="Input 6 7 2" xfId="939"/>
    <cellStyle name="Input 6 7 2 2" xfId="1983"/>
    <cellStyle name="Input 6 7 2 3" xfId="3025"/>
    <cellStyle name="Input 6 7 2 4" xfId="4067"/>
    <cellStyle name="Input 6 7 2 5" xfId="5109"/>
    <cellStyle name="Input 6 7 3" xfId="1482"/>
    <cellStyle name="Input 6 7 4" xfId="2524"/>
    <cellStyle name="Input 6 7 5" xfId="3566"/>
    <cellStyle name="Input 6 7 6" xfId="4608"/>
    <cellStyle name="Input 6 8" xfId="500"/>
    <cellStyle name="Input 6 8 2" xfId="990"/>
    <cellStyle name="Input 6 8 2 2" xfId="2034"/>
    <cellStyle name="Input 6 8 2 3" xfId="3076"/>
    <cellStyle name="Input 6 8 2 4" xfId="4118"/>
    <cellStyle name="Input 6 8 2 5" xfId="5160"/>
    <cellStyle name="Input 6 8 3" xfId="1544"/>
    <cellStyle name="Input 6 8 4" xfId="2586"/>
    <cellStyle name="Input 6 8 5" xfId="3628"/>
    <cellStyle name="Input 6 8 6" xfId="4670"/>
    <cellStyle name="Input 6 9" xfId="449"/>
    <cellStyle name="Input 6 9 2" xfId="946"/>
    <cellStyle name="Input 6 9 2 2" xfId="1990"/>
    <cellStyle name="Input 6 9 2 3" xfId="3032"/>
    <cellStyle name="Input 6 9 2 4" xfId="4074"/>
    <cellStyle name="Input 6 9 2 5" xfId="5116"/>
    <cellStyle name="Input 6 9 3" xfId="1493"/>
    <cellStyle name="Input 6 9 4" xfId="2535"/>
    <cellStyle name="Input 6 9 5" xfId="3577"/>
    <cellStyle name="Input 6 9 6" xfId="4619"/>
    <cellStyle name="Input 7" xfId="100"/>
    <cellStyle name="Input 7 10" xfId="621"/>
    <cellStyle name="Input 7 10 2" xfId="1665"/>
    <cellStyle name="Input 7 10 3" xfId="2707"/>
    <cellStyle name="Input 7 10 4" xfId="3749"/>
    <cellStyle name="Input 7 10 5" xfId="4791"/>
    <cellStyle name="Input 7 11" xfId="529"/>
    <cellStyle name="Input 7 11 2" xfId="1573"/>
    <cellStyle name="Input 7 11 3" xfId="2615"/>
    <cellStyle name="Input 7 11 4" xfId="3657"/>
    <cellStyle name="Input 7 11 5" xfId="4699"/>
    <cellStyle name="Input 7 12" xfId="1090"/>
    <cellStyle name="Input 7 12 2" xfId="2134"/>
    <cellStyle name="Input 7 12 3" xfId="3176"/>
    <cellStyle name="Input 7 12 4" xfId="4218"/>
    <cellStyle name="Input 7 12 5" xfId="5260"/>
    <cellStyle name="Input 7 13" xfId="1144"/>
    <cellStyle name="Input 7 14" xfId="2186"/>
    <cellStyle name="Input 7 15" xfId="3228"/>
    <cellStyle name="Input 7 16" xfId="4270"/>
    <cellStyle name="Input 7 2" xfId="194"/>
    <cellStyle name="Input 7 2 2" xfId="716"/>
    <cellStyle name="Input 7 2 2 2" xfId="1760"/>
    <cellStyle name="Input 7 2 2 3" xfId="2802"/>
    <cellStyle name="Input 7 2 2 4" xfId="3844"/>
    <cellStyle name="Input 7 2 2 5" xfId="4886"/>
    <cellStyle name="Input 7 2 3" xfId="1239"/>
    <cellStyle name="Input 7 2 4" xfId="2281"/>
    <cellStyle name="Input 7 2 5" xfId="3323"/>
    <cellStyle name="Input 7 2 6" xfId="4365"/>
    <cellStyle name="Input 7 3" xfId="237"/>
    <cellStyle name="Input 7 3 2" xfId="759"/>
    <cellStyle name="Input 7 3 2 2" xfId="1803"/>
    <cellStyle name="Input 7 3 2 3" xfId="2845"/>
    <cellStyle name="Input 7 3 2 4" xfId="3887"/>
    <cellStyle name="Input 7 3 2 5" xfId="4929"/>
    <cellStyle name="Input 7 3 3" xfId="1282"/>
    <cellStyle name="Input 7 3 4" xfId="2324"/>
    <cellStyle name="Input 7 3 5" xfId="3366"/>
    <cellStyle name="Input 7 3 6" xfId="4408"/>
    <cellStyle name="Input 7 4" xfId="280"/>
    <cellStyle name="Input 7 4 2" xfId="802"/>
    <cellStyle name="Input 7 4 2 2" xfId="1846"/>
    <cellStyle name="Input 7 4 2 3" xfId="2888"/>
    <cellStyle name="Input 7 4 2 4" xfId="3930"/>
    <cellStyle name="Input 7 4 2 5" xfId="4972"/>
    <cellStyle name="Input 7 4 3" xfId="1325"/>
    <cellStyle name="Input 7 4 4" xfId="2367"/>
    <cellStyle name="Input 7 4 5" xfId="3409"/>
    <cellStyle name="Input 7 4 6" xfId="4451"/>
    <cellStyle name="Input 7 5" xfId="316"/>
    <cellStyle name="Input 7 5 2" xfId="838"/>
    <cellStyle name="Input 7 5 2 2" xfId="1882"/>
    <cellStyle name="Input 7 5 2 3" xfId="2924"/>
    <cellStyle name="Input 7 5 2 4" xfId="3966"/>
    <cellStyle name="Input 7 5 2 5" xfId="5008"/>
    <cellStyle name="Input 7 5 3" xfId="1361"/>
    <cellStyle name="Input 7 5 4" xfId="2403"/>
    <cellStyle name="Input 7 5 5" xfId="3445"/>
    <cellStyle name="Input 7 5 6" xfId="4487"/>
    <cellStyle name="Input 7 6" xfId="410"/>
    <cellStyle name="Input 7 6 2" xfId="919"/>
    <cellStyle name="Input 7 6 2 2" xfId="1963"/>
    <cellStyle name="Input 7 6 2 3" xfId="3005"/>
    <cellStyle name="Input 7 6 2 4" xfId="4047"/>
    <cellStyle name="Input 7 6 2 5" xfId="5089"/>
    <cellStyle name="Input 7 6 3" xfId="1455"/>
    <cellStyle name="Input 7 6 4" xfId="2497"/>
    <cellStyle name="Input 7 6 5" xfId="3539"/>
    <cellStyle name="Input 7 6 6" xfId="4581"/>
    <cellStyle name="Input 7 7" xfId="353"/>
    <cellStyle name="Input 7 7 2" xfId="871"/>
    <cellStyle name="Input 7 7 2 2" xfId="1915"/>
    <cellStyle name="Input 7 7 2 3" xfId="2957"/>
    <cellStyle name="Input 7 7 2 4" xfId="3999"/>
    <cellStyle name="Input 7 7 2 5" xfId="5041"/>
    <cellStyle name="Input 7 7 3" xfId="1398"/>
    <cellStyle name="Input 7 7 4" xfId="2440"/>
    <cellStyle name="Input 7 7 5" xfId="3482"/>
    <cellStyle name="Input 7 7 6" xfId="4524"/>
    <cellStyle name="Input 7 8" xfId="511"/>
    <cellStyle name="Input 7 8 2" xfId="1001"/>
    <cellStyle name="Input 7 8 2 2" xfId="2045"/>
    <cellStyle name="Input 7 8 2 3" xfId="3087"/>
    <cellStyle name="Input 7 8 2 4" xfId="4129"/>
    <cellStyle name="Input 7 8 2 5" xfId="5171"/>
    <cellStyle name="Input 7 8 3" xfId="1555"/>
    <cellStyle name="Input 7 8 4" xfId="2597"/>
    <cellStyle name="Input 7 8 5" xfId="3639"/>
    <cellStyle name="Input 7 8 6" xfId="4681"/>
    <cellStyle name="Input 7 9" xfId="558"/>
    <cellStyle name="Input 7 9 2" xfId="1040"/>
    <cellStyle name="Input 7 9 2 2" xfId="2084"/>
    <cellStyle name="Input 7 9 2 3" xfId="3126"/>
    <cellStyle name="Input 7 9 2 4" xfId="4168"/>
    <cellStyle name="Input 7 9 2 5" xfId="5210"/>
    <cellStyle name="Input 7 9 3" xfId="1602"/>
    <cellStyle name="Input 7 9 4" xfId="2644"/>
    <cellStyle name="Input 7 9 5" xfId="3686"/>
    <cellStyle name="Input 7 9 6" xfId="4728"/>
    <cellStyle name="Input 8" xfId="104"/>
    <cellStyle name="Input 8 10" xfId="625"/>
    <cellStyle name="Input 8 10 2" xfId="1669"/>
    <cellStyle name="Input 8 10 3" xfId="2711"/>
    <cellStyle name="Input 8 10 4" xfId="3753"/>
    <cellStyle name="Input 8 10 5" xfId="4795"/>
    <cellStyle name="Input 8 11" xfId="564"/>
    <cellStyle name="Input 8 11 2" xfId="1608"/>
    <cellStyle name="Input 8 11 3" xfId="2650"/>
    <cellStyle name="Input 8 11 4" xfId="3692"/>
    <cellStyle name="Input 8 11 5" xfId="4734"/>
    <cellStyle name="Input 8 12" xfId="1094"/>
    <cellStyle name="Input 8 12 2" xfId="2138"/>
    <cellStyle name="Input 8 12 3" xfId="3180"/>
    <cellStyle name="Input 8 12 4" xfId="4222"/>
    <cellStyle name="Input 8 12 5" xfId="5264"/>
    <cellStyle name="Input 8 13" xfId="1148"/>
    <cellStyle name="Input 8 14" xfId="2190"/>
    <cellStyle name="Input 8 15" xfId="3232"/>
    <cellStyle name="Input 8 16" xfId="4274"/>
    <cellStyle name="Input 8 2" xfId="198"/>
    <cellStyle name="Input 8 2 2" xfId="720"/>
    <cellStyle name="Input 8 2 2 2" xfId="1764"/>
    <cellStyle name="Input 8 2 2 3" xfId="2806"/>
    <cellStyle name="Input 8 2 2 4" xfId="3848"/>
    <cellStyle name="Input 8 2 2 5" xfId="4890"/>
    <cellStyle name="Input 8 2 3" xfId="1243"/>
    <cellStyle name="Input 8 2 4" xfId="2285"/>
    <cellStyle name="Input 8 2 5" xfId="3327"/>
    <cellStyle name="Input 8 2 6" xfId="4369"/>
    <cellStyle name="Input 8 3" xfId="245"/>
    <cellStyle name="Input 8 3 2" xfId="767"/>
    <cellStyle name="Input 8 3 2 2" xfId="1811"/>
    <cellStyle name="Input 8 3 2 3" xfId="2853"/>
    <cellStyle name="Input 8 3 2 4" xfId="3895"/>
    <cellStyle name="Input 8 3 2 5" xfId="4937"/>
    <cellStyle name="Input 8 3 3" xfId="1290"/>
    <cellStyle name="Input 8 3 4" xfId="2332"/>
    <cellStyle name="Input 8 3 5" xfId="3374"/>
    <cellStyle name="Input 8 3 6" xfId="4416"/>
    <cellStyle name="Input 8 4" xfId="284"/>
    <cellStyle name="Input 8 4 2" xfId="806"/>
    <cellStyle name="Input 8 4 2 2" xfId="1850"/>
    <cellStyle name="Input 8 4 2 3" xfId="2892"/>
    <cellStyle name="Input 8 4 2 4" xfId="3934"/>
    <cellStyle name="Input 8 4 2 5" xfId="4976"/>
    <cellStyle name="Input 8 4 3" xfId="1329"/>
    <cellStyle name="Input 8 4 4" xfId="2371"/>
    <cellStyle name="Input 8 4 5" xfId="3413"/>
    <cellStyle name="Input 8 4 6" xfId="4455"/>
    <cellStyle name="Input 8 5" xfId="322"/>
    <cellStyle name="Input 8 5 2" xfId="844"/>
    <cellStyle name="Input 8 5 2 2" xfId="1888"/>
    <cellStyle name="Input 8 5 2 3" xfId="2930"/>
    <cellStyle name="Input 8 5 2 4" xfId="3972"/>
    <cellStyle name="Input 8 5 2 5" xfId="5014"/>
    <cellStyle name="Input 8 5 3" xfId="1367"/>
    <cellStyle name="Input 8 5 4" xfId="2409"/>
    <cellStyle name="Input 8 5 5" xfId="3451"/>
    <cellStyle name="Input 8 5 6" xfId="4493"/>
    <cellStyle name="Input 8 6" xfId="414"/>
    <cellStyle name="Input 8 6 2" xfId="923"/>
    <cellStyle name="Input 8 6 2 2" xfId="1967"/>
    <cellStyle name="Input 8 6 2 3" xfId="3009"/>
    <cellStyle name="Input 8 6 2 4" xfId="4051"/>
    <cellStyle name="Input 8 6 2 5" xfId="5093"/>
    <cellStyle name="Input 8 6 3" xfId="1459"/>
    <cellStyle name="Input 8 6 4" xfId="2501"/>
    <cellStyle name="Input 8 6 5" xfId="3543"/>
    <cellStyle name="Input 8 6 6" xfId="4585"/>
    <cellStyle name="Input 8 7" xfId="357"/>
    <cellStyle name="Input 8 7 2" xfId="875"/>
    <cellStyle name="Input 8 7 2 2" xfId="1919"/>
    <cellStyle name="Input 8 7 2 3" xfId="2961"/>
    <cellStyle name="Input 8 7 2 4" xfId="4003"/>
    <cellStyle name="Input 8 7 2 5" xfId="5045"/>
    <cellStyle name="Input 8 7 3" xfId="1402"/>
    <cellStyle name="Input 8 7 4" xfId="2444"/>
    <cellStyle name="Input 8 7 5" xfId="3486"/>
    <cellStyle name="Input 8 7 6" xfId="4528"/>
    <cellStyle name="Input 8 8" xfId="515"/>
    <cellStyle name="Input 8 8 2" xfId="1005"/>
    <cellStyle name="Input 8 8 2 2" xfId="2049"/>
    <cellStyle name="Input 8 8 2 3" xfId="3091"/>
    <cellStyle name="Input 8 8 2 4" xfId="4133"/>
    <cellStyle name="Input 8 8 2 5" xfId="5175"/>
    <cellStyle name="Input 8 8 3" xfId="1559"/>
    <cellStyle name="Input 8 8 4" xfId="2601"/>
    <cellStyle name="Input 8 8 5" xfId="3643"/>
    <cellStyle name="Input 8 8 6" xfId="4685"/>
    <cellStyle name="Input 8 9" xfId="544"/>
    <cellStyle name="Input 8 9 2" xfId="1029"/>
    <cellStyle name="Input 8 9 2 2" xfId="2073"/>
    <cellStyle name="Input 8 9 2 3" xfId="3115"/>
    <cellStyle name="Input 8 9 2 4" xfId="4157"/>
    <cellStyle name="Input 8 9 2 5" xfId="5199"/>
    <cellStyle name="Input 8 9 3" xfId="1588"/>
    <cellStyle name="Input 8 9 4" xfId="2630"/>
    <cellStyle name="Input 8 9 5" xfId="3672"/>
    <cellStyle name="Input 8 9 6" xfId="4714"/>
    <cellStyle name="Input 9" xfId="133"/>
    <cellStyle name="Input 9 10" xfId="655"/>
    <cellStyle name="Input 9 10 2" xfId="1699"/>
    <cellStyle name="Input 9 10 3" xfId="2741"/>
    <cellStyle name="Input 9 10 4" xfId="3783"/>
    <cellStyle name="Input 9 10 5" xfId="4825"/>
    <cellStyle name="Input 9 11" xfId="437"/>
    <cellStyle name="Input 9 11 2" xfId="1481"/>
    <cellStyle name="Input 9 11 3" xfId="2523"/>
    <cellStyle name="Input 9 11 4" xfId="3565"/>
    <cellStyle name="Input 9 11 5" xfId="4607"/>
    <cellStyle name="Input 9 12" xfId="1106"/>
    <cellStyle name="Input 9 12 2" xfId="2150"/>
    <cellStyle name="Input 9 12 3" xfId="3192"/>
    <cellStyle name="Input 9 12 4" xfId="4234"/>
    <cellStyle name="Input 9 12 5" xfId="5276"/>
    <cellStyle name="Input 9 13" xfId="1178"/>
    <cellStyle name="Input 9 14" xfId="2220"/>
    <cellStyle name="Input 9 15" xfId="3262"/>
    <cellStyle name="Input 9 16" xfId="4304"/>
    <cellStyle name="Input 9 2" xfId="207"/>
    <cellStyle name="Input 9 2 2" xfId="729"/>
    <cellStyle name="Input 9 2 2 2" xfId="1773"/>
    <cellStyle name="Input 9 2 2 3" xfId="2815"/>
    <cellStyle name="Input 9 2 2 4" xfId="3857"/>
    <cellStyle name="Input 9 2 2 5" xfId="4899"/>
    <cellStyle name="Input 9 2 3" xfId="1252"/>
    <cellStyle name="Input 9 2 4" xfId="2294"/>
    <cellStyle name="Input 9 2 5" xfId="3336"/>
    <cellStyle name="Input 9 2 6" xfId="4378"/>
    <cellStyle name="Input 9 3" xfId="236"/>
    <cellStyle name="Input 9 3 2" xfId="758"/>
    <cellStyle name="Input 9 3 2 2" xfId="1802"/>
    <cellStyle name="Input 9 3 2 3" xfId="2844"/>
    <cellStyle name="Input 9 3 2 4" xfId="3886"/>
    <cellStyle name="Input 9 3 2 5" xfId="4928"/>
    <cellStyle name="Input 9 3 3" xfId="1281"/>
    <cellStyle name="Input 9 3 4" xfId="2323"/>
    <cellStyle name="Input 9 3 5" xfId="3365"/>
    <cellStyle name="Input 9 3 6" xfId="4407"/>
    <cellStyle name="Input 9 4" xfId="294"/>
    <cellStyle name="Input 9 4 2" xfId="816"/>
    <cellStyle name="Input 9 4 2 2" xfId="1860"/>
    <cellStyle name="Input 9 4 2 3" xfId="2902"/>
    <cellStyle name="Input 9 4 2 4" xfId="3944"/>
    <cellStyle name="Input 9 4 2 5" xfId="4986"/>
    <cellStyle name="Input 9 4 3" xfId="1339"/>
    <cellStyle name="Input 9 4 4" xfId="2381"/>
    <cellStyle name="Input 9 4 5" xfId="3423"/>
    <cellStyle name="Input 9 4 6" xfId="4465"/>
    <cellStyle name="Input 9 5" xfId="315"/>
    <cellStyle name="Input 9 5 2" xfId="837"/>
    <cellStyle name="Input 9 5 2 2" xfId="1881"/>
    <cellStyle name="Input 9 5 2 3" xfId="2923"/>
    <cellStyle name="Input 9 5 2 4" xfId="3965"/>
    <cellStyle name="Input 9 5 2 5" xfId="5007"/>
    <cellStyle name="Input 9 5 3" xfId="1360"/>
    <cellStyle name="Input 9 5 4" xfId="2402"/>
    <cellStyle name="Input 9 5 5" xfId="3444"/>
    <cellStyle name="Input 9 5 6" xfId="4486"/>
    <cellStyle name="Input 9 6" xfId="426"/>
    <cellStyle name="Input 9 6 2" xfId="932"/>
    <cellStyle name="Input 9 6 2 2" xfId="1976"/>
    <cellStyle name="Input 9 6 2 3" xfId="3018"/>
    <cellStyle name="Input 9 6 2 4" xfId="4060"/>
    <cellStyle name="Input 9 6 2 5" xfId="5102"/>
    <cellStyle name="Input 9 6 3" xfId="1471"/>
    <cellStyle name="Input 9 6 4" xfId="2513"/>
    <cellStyle name="Input 9 6 5" xfId="3555"/>
    <cellStyle name="Input 9 6 6" xfId="4597"/>
    <cellStyle name="Input 9 7" xfId="361"/>
    <cellStyle name="Input 9 7 2" xfId="879"/>
    <cellStyle name="Input 9 7 2 2" xfId="1923"/>
    <cellStyle name="Input 9 7 2 3" xfId="2965"/>
    <cellStyle name="Input 9 7 2 4" xfId="4007"/>
    <cellStyle name="Input 9 7 2 5" xfId="5049"/>
    <cellStyle name="Input 9 7 3" xfId="1406"/>
    <cellStyle name="Input 9 7 4" xfId="2448"/>
    <cellStyle name="Input 9 7 5" xfId="3490"/>
    <cellStyle name="Input 9 7 6" xfId="4532"/>
    <cellStyle name="Input 9 8" xfId="526"/>
    <cellStyle name="Input 9 8 2" xfId="1016"/>
    <cellStyle name="Input 9 8 2 2" xfId="2060"/>
    <cellStyle name="Input 9 8 2 3" xfId="3102"/>
    <cellStyle name="Input 9 8 2 4" xfId="4144"/>
    <cellStyle name="Input 9 8 2 5" xfId="5186"/>
    <cellStyle name="Input 9 8 3" xfId="1570"/>
    <cellStyle name="Input 9 8 4" xfId="2612"/>
    <cellStyle name="Input 9 8 5" xfId="3654"/>
    <cellStyle name="Input 9 8 6" xfId="4696"/>
    <cellStyle name="Input 9 9" xfId="553"/>
    <cellStyle name="Input 9 9 2" xfId="1035"/>
    <cellStyle name="Input 9 9 2 2" xfId="2079"/>
    <cellStyle name="Input 9 9 2 3" xfId="3121"/>
    <cellStyle name="Input 9 9 2 4" xfId="4163"/>
    <cellStyle name="Input 9 9 2 5" xfId="5205"/>
    <cellStyle name="Input 9 9 3" xfId="1597"/>
    <cellStyle name="Input 9 9 4" xfId="2639"/>
    <cellStyle name="Input 9 9 5" xfId="3681"/>
    <cellStyle name="Input 9 9 6" xfId="4723"/>
    <cellStyle name="Linked Cell 2" xfId="55"/>
    <cellStyle name="Neutral 2" xfId="56"/>
    <cellStyle name="Normal" xfId="0" builtinId="0"/>
    <cellStyle name="Normal 2" xfId="6"/>
    <cellStyle name="Normal 2 2" xfId="3"/>
    <cellStyle name="Normal 2 2 2" xfId="17"/>
    <cellStyle name="Normal 2 2 2 2" xfId="86"/>
    <cellStyle name="Normal 2 3" xfId="7"/>
    <cellStyle name="Normal 2 3 2" xfId="65"/>
    <cellStyle name="Normal 2 4" xfId="62"/>
    <cellStyle name="Normal 2 5" xfId="13"/>
    <cellStyle name="Normal 3" xfId="4"/>
    <cellStyle name="Normal 3 2" xfId="15"/>
    <cellStyle name="Normal 3 2 2" xfId="66"/>
    <cellStyle name="Normal 3 3" xfId="10"/>
    <cellStyle name="Normal 3 4" xfId="63"/>
    <cellStyle name="Normal 4" xfId="16"/>
    <cellStyle name="Normal 4 10" xfId="3195"/>
    <cellStyle name="Normal 4 11" xfId="4237"/>
    <cellStyle name="Normal 4 12" xfId="67"/>
    <cellStyle name="Normal 4 2" xfId="85"/>
    <cellStyle name="Normal 4 2 2" xfId="180"/>
    <cellStyle name="Normal 4 2 2 2" xfId="701"/>
    <cellStyle name="Normal 4 2 2 2 2" xfId="1745"/>
    <cellStyle name="Normal 4 2 2 2 3" xfId="2787"/>
    <cellStyle name="Normal 4 2 2 2 4" xfId="3829"/>
    <cellStyle name="Normal 4 2 2 2 5" xfId="4871"/>
    <cellStyle name="Normal 4 2 2 3" xfId="1224"/>
    <cellStyle name="Normal 4 2 2 4" xfId="2266"/>
    <cellStyle name="Normal 4 2 2 5" xfId="3308"/>
    <cellStyle name="Normal 4 2 2 6" xfId="4350"/>
    <cellStyle name="Normal 4 2 3" xfId="395"/>
    <cellStyle name="Normal 4 2 3 2" xfId="1440"/>
    <cellStyle name="Normal 4 2 3 3" xfId="2482"/>
    <cellStyle name="Normal 4 2 3 4" xfId="3524"/>
    <cellStyle name="Normal 4 2 3 5" xfId="4566"/>
    <cellStyle name="Normal 4 2 4" xfId="606"/>
    <cellStyle name="Normal 4 2 4 2" xfId="1650"/>
    <cellStyle name="Normal 4 2 4 3" xfId="2692"/>
    <cellStyle name="Normal 4 2 4 4" xfId="3734"/>
    <cellStyle name="Normal 4 2 4 5" xfId="4776"/>
    <cellStyle name="Normal 4 2 5" xfId="1075"/>
    <cellStyle name="Normal 4 2 5 2" xfId="2119"/>
    <cellStyle name="Normal 4 2 5 3" xfId="3161"/>
    <cellStyle name="Normal 4 2 5 4" xfId="4203"/>
    <cellStyle name="Normal 4 2 5 5" xfId="5245"/>
    <cellStyle name="Normal 4 2 6" xfId="1129"/>
    <cellStyle name="Normal 4 2 7" xfId="2171"/>
    <cellStyle name="Normal 4 2 8" xfId="3213"/>
    <cellStyle name="Normal 4 2 9" xfId="4255"/>
    <cellStyle name="Normal 4 3" xfId="114"/>
    <cellStyle name="Normal 4 3 2" xfId="418"/>
    <cellStyle name="Normal 4 3 2 2" xfId="1463"/>
    <cellStyle name="Normal 4 3 2 3" xfId="2505"/>
    <cellStyle name="Normal 4 3 2 4" xfId="3547"/>
    <cellStyle name="Normal 4 3 2 5" xfId="4589"/>
    <cellStyle name="Normal 4 3 3" xfId="635"/>
    <cellStyle name="Normal 4 3 3 2" xfId="1679"/>
    <cellStyle name="Normal 4 3 3 3" xfId="2721"/>
    <cellStyle name="Normal 4 3 3 4" xfId="3763"/>
    <cellStyle name="Normal 4 3 3 5" xfId="4805"/>
    <cellStyle name="Normal 4 3 4" xfId="1098"/>
    <cellStyle name="Normal 4 3 4 2" xfId="2142"/>
    <cellStyle name="Normal 4 3 4 3" xfId="3184"/>
    <cellStyle name="Normal 4 3 4 4" xfId="4226"/>
    <cellStyle name="Normal 4 3 4 5" xfId="5268"/>
    <cellStyle name="Normal 4 3 5" xfId="1158"/>
    <cellStyle name="Normal 4 3 6" xfId="2200"/>
    <cellStyle name="Normal 4 3 7" xfId="3242"/>
    <cellStyle name="Normal 4 3 8" xfId="4284"/>
    <cellStyle name="Normal 4 4" xfId="162"/>
    <cellStyle name="Normal 4 4 2" xfId="377"/>
    <cellStyle name="Normal 4 4 2 2" xfId="1422"/>
    <cellStyle name="Normal 4 4 2 3" xfId="2464"/>
    <cellStyle name="Normal 4 4 2 4" xfId="3506"/>
    <cellStyle name="Normal 4 4 2 5" xfId="4548"/>
    <cellStyle name="Normal 4 4 3" xfId="683"/>
    <cellStyle name="Normal 4 4 3 2" xfId="1727"/>
    <cellStyle name="Normal 4 4 3 3" xfId="2769"/>
    <cellStyle name="Normal 4 4 3 4" xfId="3811"/>
    <cellStyle name="Normal 4 4 3 5" xfId="4853"/>
    <cellStyle name="Normal 4 4 4" xfId="1057"/>
    <cellStyle name="Normal 4 4 4 2" xfId="2101"/>
    <cellStyle name="Normal 4 4 4 3" xfId="3143"/>
    <cellStyle name="Normal 4 4 4 4" xfId="4185"/>
    <cellStyle name="Normal 4 4 4 5" xfId="5227"/>
    <cellStyle name="Normal 4 4 5" xfId="1206"/>
    <cellStyle name="Normal 4 4 6" xfId="2248"/>
    <cellStyle name="Normal 4 4 7" xfId="3290"/>
    <cellStyle name="Normal 4 4 8" xfId="4332"/>
    <cellStyle name="Normal 4 5" xfId="368"/>
    <cellStyle name="Normal 4 5 2" xfId="1413"/>
    <cellStyle name="Normal 4 5 3" xfId="2455"/>
    <cellStyle name="Normal 4 5 4" xfId="3497"/>
    <cellStyle name="Normal 4 5 5" xfId="4539"/>
    <cellStyle name="Normal 4 6" xfId="588"/>
    <cellStyle name="Normal 4 6 2" xfId="1632"/>
    <cellStyle name="Normal 4 6 3" xfId="2674"/>
    <cellStyle name="Normal 4 6 4" xfId="3716"/>
    <cellStyle name="Normal 4 6 5" xfId="4758"/>
    <cellStyle name="Normal 4 7" xfId="1049"/>
    <cellStyle name="Normal 4 7 2" xfId="2093"/>
    <cellStyle name="Normal 4 7 3" xfId="3135"/>
    <cellStyle name="Normal 4 7 4" xfId="4177"/>
    <cellStyle name="Normal 4 7 5" xfId="5219"/>
    <cellStyle name="Normal 4 8" xfId="1111"/>
    <cellStyle name="Normal 4 9" xfId="2153"/>
    <cellStyle name="Normal 5" xfId="2"/>
    <cellStyle name="Normal 5 10" xfId="3214"/>
    <cellStyle name="Normal 5 11" xfId="4256"/>
    <cellStyle name="Normal 5 2" xfId="18"/>
    <cellStyle name="Normal 5 2 2" xfId="419"/>
    <cellStyle name="Normal 5 2 2 2" xfId="1464"/>
    <cellStyle name="Normal 5 2 2 3" xfId="2506"/>
    <cellStyle name="Normal 5 2 2 4" xfId="3548"/>
    <cellStyle name="Normal 5 2 2 5" xfId="4590"/>
    <cellStyle name="Normal 5 2 3" xfId="637"/>
    <cellStyle name="Normal 5 2 3 2" xfId="1681"/>
    <cellStyle name="Normal 5 2 3 3" xfId="2723"/>
    <cellStyle name="Normal 5 2 3 4" xfId="3765"/>
    <cellStyle name="Normal 5 2 3 5" xfId="4807"/>
    <cellStyle name="Normal 5 2 4" xfId="1099"/>
    <cellStyle name="Normal 5 2 4 2" xfId="2143"/>
    <cellStyle name="Normal 5 2 4 3" xfId="3185"/>
    <cellStyle name="Normal 5 2 4 4" xfId="4227"/>
    <cellStyle name="Normal 5 2 4 5" xfId="5269"/>
    <cellStyle name="Normal 5 2 5" xfId="1160"/>
    <cellStyle name="Normal 5 2 6" xfId="2202"/>
    <cellStyle name="Normal 5 2 7" xfId="3244"/>
    <cellStyle name="Normal 5 2 8" xfId="4286"/>
    <cellStyle name="Normal 5 3" xfId="8"/>
    <cellStyle name="Normal 5 3 2" xfId="396"/>
    <cellStyle name="Normal 5 3 2 2" xfId="1441"/>
    <cellStyle name="Normal 5 3 2 3" xfId="2483"/>
    <cellStyle name="Normal 5 3 2 4" xfId="3525"/>
    <cellStyle name="Normal 5 3 2 5" xfId="4567"/>
    <cellStyle name="Normal 5 3 3" xfId="702"/>
    <cellStyle name="Normal 5 3 3 2" xfId="1746"/>
    <cellStyle name="Normal 5 3 3 3" xfId="2788"/>
    <cellStyle name="Normal 5 3 3 4" xfId="3830"/>
    <cellStyle name="Normal 5 3 3 5" xfId="4872"/>
    <cellStyle name="Normal 5 3 4" xfId="1076"/>
    <cellStyle name="Normal 5 3 4 2" xfId="2120"/>
    <cellStyle name="Normal 5 3 4 3" xfId="3162"/>
    <cellStyle name="Normal 5 3 4 4" xfId="4204"/>
    <cellStyle name="Normal 5 3 4 5" xfId="5246"/>
    <cellStyle name="Normal 5 3 5" xfId="1225"/>
    <cellStyle name="Normal 5 3 6" xfId="2267"/>
    <cellStyle name="Normal 5 3 7" xfId="3309"/>
    <cellStyle name="Normal 5 3 8" xfId="4351"/>
    <cellStyle name="Normal 5 4" xfId="370"/>
    <cellStyle name="Normal 5 4 2" xfId="1415"/>
    <cellStyle name="Normal 5 4 3" xfId="2457"/>
    <cellStyle name="Normal 5 4 4" xfId="3499"/>
    <cellStyle name="Normal 5 4 5" xfId="4541"/>
    <cellStyle name="Normal 5 5" xfId="607"/>
    <cellStyle name="Normal 5 5 2" xfId="1651"/>
    <cellStyle name="Normal 5 5 3" xfId="2693"/>
    <cellStyle name="Normal 5 5 4" xfId="3735"/>
    <cellStyle name="Normal 5 5 5" xfId="4777"/>
    <cellStyle name="Normal 5 6" xfId="1050"/>
    <cellStyle name="Normal 5 6 2" xfId="2094"/>
    <cellStyle name="Normal 5 6 3" xfId="3136"/>
    <cellStyle name="Normal 5 6 4" xfId="4178"/>
    <cellStyle name="Normal 5 6 5" xfId="5220"/>
    <cellStyle name="Normal 5 7" xfId="1109"/>
    <cellStyle name="Normal 5 8" xfId="1130"/>
    <cellStyle name="Normal 5 9" xfId="2172"/>
    <cellStyle name="Normal 6" xfId="435"/>
    <cellStyle name="Normal 7" xfId="5280"/>
    <cellStyle name="Normal 8" xfId="19"/>
    <cellStyle name="Normal 9" xfId="20"/>
    <cellStyle name="Note 10" xfId="118"/>
    <cellStyle name="Note 10 10" xfId="640"/>
    <cellStyle name="Note 10 10 2" xfId="1684"/>
    <cellStyle name="Note 10 10 3" xfId="2726"/>
    <cellStyle name="Note 10 10 4" xfId="3768"/>
    <cellStyle name="Note 10 10 5" xfId="4810"/>
    <cellStyle name="Note 10 11" xfId="332"/>
    <cellStyle name="Note 10 11 2" xfId="1377"/>
    <cellStyle name="Note 10 11 3" xfId="2419"/>
    <cellStyle name="Note 10 11 4" xfId="3461"/>
    <cellStyle name="Note 10 11 5" xfId="4503"/>
    <cellStyle name="Note 10 12" xfId="1101"/>
    <cellStyle name="Note 10 12 2" xfId="2145"/>
    <cellStyle name="Note 10 12 3" xfId="3187"/>
    <cellStyle name="Note 10 12 4" xfId="4229"/>
    <cellStyle name="Note 10 12 5" xfId="5271"/>
    <cellStyle name="Note 10 13" xfId="1163"/>
    <cellStyle name="Note 10 14" xfId="2205"/>
    <cellStyle name="Note 10 15" xfId="3247"/>
    <cellStyle name="Note 10 16" xfId="4289"/>
    <cellStyle name="Note 10 2" xfId="202"/>
    <cellStyle name="Note 10 2 2" xfId="724"/>
    <cellStyle name="Note 10 2 2 2" xfId="1768"/>
    <cellStyle name="Note 10 2 2 3" xfId="2810"/>
    <cellStyle name="Note 10 2 2 4" xfId="3852"/>
    <cellStyle name="Note 10 2 2 5" xfId="4894"/>
    <cellStyle name="Note 10 2 3" xfId="1247"/>
    <cellStyle name="Note 10 2 4" xfId="2289"/>
    <cellStyle name="Note 10 2 5" xfId="3331"/>
    <cellStyle name="Note 10 2 6" xfId="4373"/>
    <cellStyle name="Note 10 3" xfId="226"/>
    <cellStyle name="Note 10 3 2" xfId="748"/>
    <cellStyle name="Note 10 3 2 2" xfId="1792"/>
    <cellStyle name="Note 10 3 2 3" xfId="2834"/>
    <cellStyle name="Note 10 3 2 4" xfId="3876"/>
    <cellStyle name="Note 10 3 2 5" xfId="4918"/>
    <cellStyle name="Note 10 3 3" xfId="1271"/>
    <cellStyle name="Note 10 3 4" xfId="2313"/>
    <cellStyle name="Note 10 3 5" xfId="3355"/>
    <cellStyle name="Note 10 3 6" xfId="4397"/>
    <cellStyle name="Note 10 4" xfId="289"/>
    <cellStyle name="Note 10 4 2" xfId="811"/>
    <cellStyle name="Note 10 4 2 2" xfId="1855"/>
    <cellStyle name="Note 10 4 2 3" xfId="2897"/>
    <cellStyle name="Note 10 4 2 4" xfId="3939"/>
    <cellStyle name="Note 10 4 2 5" xfId="4981"/>
    <cellStyle name="Note 10 4 3" xfId="1334"/>
    <cellStyle name="Note 10 4 4" xfId="2376"/>
    <cellStyle name="Note 10 4 5" xfId="3418"/>
    <cellStyle name="Note 10 4 6" xfId="4460"/>
    <cellStyle name="Note 10 5" xfId="305"/>
    <cellStyle name="Note 10 5 2" xfId="827"/>
    <cellStyle name="Note 10 5 2 2" xfId="1871"/>
    <cellStyle name="Note 10 5 2 3" xfId="2913"/>
    <cellStyle name="Note 10 5 2 4" xfId="3955"/>
    <cellStyle name="Note 10 5 2 5" xfId="4997"/>
    <cellStyle name="Note 10 5 3" xfId="1350"/>
    <cellStyle name="Note 10 5 4" xfId="2392"/>
    <cellStyle name="Note 10 5 5" xfId="3434"/>
    <cellStyle name="Note 10 5 6" xfId="4476"/>
    <cellStyle name="Note 10 6" xfId="421"/>
    <cellStyle name="Note 10 6 2" xfId="927"/>
    <cellStyle name="Note 10 6 2 2" xfId="1971"/>
    <cellStyle name="Note 10 6 2 3" xfId="3013"/>
    <cellStyle name="Note 10 6 2 4" xfId="4055"/>
    <cellStyle name="Note 10 6 2 5" xfId="5097"/>
    <cellStyle name="Note 10 6 3" xfId="1466"/>
    <cellStyle name="Note 10 6 4" xfId="2508"/>
    <cellStyle name="Note 10 6 5" xfId="3550"/>
    <cellStyle name="Note 10 6 6" xfId="4592"/>
    <cellStyle name="Note 10 7" xfId="366"/>
    <cellStyle name="Note 10 7 2" xfId="883"/>
    <cellStyle name="Note 10 7 2 2" xfId="1927"/>
    <cellStyle name="Note 10 7 2 3" xfId="2969"/>
    <cellStyle name="Note 10 7 2 4" xfId="4011"/>
    <cellStyle name="Note 10 7 2 5" xfId="5053"/>
    <cellStyle name="Note 10 7 3" xfId="1411"/>
    <cellStyle name="Note 10 7 4" xfId="2453"/>
    <cellStyle name="Note 10 7 5" xfId="3495"/>
    <cellStyle name="Note 10 7 6" xfId="4537"/>
    <cellStyle name="Note 10 8" xfId="521"/>
    <cellStyle name="Note 10 8 2" xfId="1011"/>
    <cellStyle name="Note 10 8 2 2" xfId="2055"/>
    <cellStyle name="Note 10 8 2 3" xfId="3097"/>
    <cellStyle name="Note 10 8 2 4" xfId="4139"/>
    <cellStyle name="Note 10 8 2 5" xfId="5181"/>
    <cellStyle name="Note 10 8 3" xfId="1565"/>
    <cellStyle name="Note 10 8 4" xfId="2607"/>
    <cellStyle name="Note 10 8 5" xfId="3649"/>
    <cellStyle name="Note 10 8 6" xfId="4691"/>
    <cellStyle name="Note 10 9" xfId="542"/>
    <cellStyle name="Note 10 9 2" xfId="1028"/>
    <cellStyle name="Note 10 9 2 2" xfId="2072"/>
    <cellStyle name="Note 10 9 2 3" xfId="3114"/>
    <cellStyle name="Note 10 9 2 4" xfId="4156"/>
    <cellStyle name="Note 10 9 2 5" xfId="5198"/>
    <cellStyle name="Note 10 9 3" xfId="1586"/>
    <cellStyle name="Note 10 9 4" xfId="2628"/>
    <cellStyle name="Note 10 9 5" xfId="3670"/>
    <cellStyle name="Note 10 9 6" xfId="4712"/>
    <cellStyle name="Note 11" xfId="158"/>
    <cellStyle name="Note 11 10" xfId="579"/>
    <cellStyle name="Note 11 10 2" xfId="1623"/>
    <cellStyle name="Note 11 10 3" xfId="2665"/>
    <cellStyle name="Note 11 10 4" xfId="3707"/>
    <cellStyle name="Note 11 10 5" xfId="4749"/>
    <cellStyle name="Note 11 11" xfId="1054"/>
    <cellStyle name="Note 11 11 2" xfId="2098"/>
    <cellStyle name="Note 11 11 3" xfId="3140"/>
    <cellStyle name="Note 11 11 4" xfId="4182"/>
    <cellStyle name="Note 11 11 5" xfId="5224"/>
    <cellStyle name="Note 11 12" xfId="1203"/>
    <cellStyle name="Note 11 13" xfId="2245"/>
    <cellStyle name="Note 11 14" xfId="3287"/>
    <cellStyle name="Note 11 15" xfId="4329"/>
    <cellStyle name="Note 11 2" xfId="152"/>
    <cellStyle name="Note 11 2 2" xfId="674"/>
    <cellStyle name="Note 11 2 2 2" xfId="1718"/>
    <cellStyle name="Note 11 2 2 3" xfId="2760"/>
    <cellStyle name="Note 11 2 2 4" xfId="3802"/>
    <cellStyle name="Note 11 2 2 5" xfId="4844"/>
    <cellStyle name="Note 11 2 3" xfId="1197"/>
    <cellStyle name="Note 11 2 4" xfId="2239"/>
    <cellStyle name="Note 11 2 5" xfId="3281"/>
    <cellStyle name="Note 11 2 6" xfId="4323"/>
    <cellStyle name="Note 11 3" xfId="210"/>
    <cellStyle name="Note 11 3 2" xfId="732"/>
    <cellStyle name="Note 11 3 2 2" xfId="1776"/>
    <cellStyle name="Note 11 3 2 3" xfId="2818"/>
    <cellStyle name="Note 11 3 2 4" xfId="3860"/>
    <cellStyle name="Note 11 3 2 5" xfId="4902"/>
    <cellStyle name="Note 11 3 3" xfId="1255"/>
    <cellStyle name="Note 11 3 4" xfId="2297"/>
    <cellStyle name="Note 11 3 5" xfId="3339"/>
    <cellStyle name="Note 11 3 6" xfId="4381"/>
    <cellStyle name="Note 11 4" xfId="127"/>
    <cellStyle name="Note 11 4 2" xfId="649"/>
    <cellStyle name="Note 11 4 2 2" xfId="1693"/>
    <cellStyle name="Note 11 4 2 3" xfId="2735"/>
    <cellStyle name="Note 11 4 2 4" xfId="3777"/>
    <cellStyle name="Note 11 4 2 5" xfId="4819"/>
    <cellStyle name="Note 11 4 3" xfId="1172"/>
    <cellStyle name="Note 11 4 4" xfId="2214"/>
    <cellStyle name="Note 11 4 5" xfId="3256"/>
    <cellStyle name="Note 11 4 6" xfId="4298"/>
    <cellStyle name="Note 11 5" xfId="374"/>
    <cellStyle name="Note 11 5 2" xfId="887"/>
    <cellStyle name="Note 11 5 2 2" xfId="1931"/>
    <cellStyle name="Note 11 5 2 3" xfId="2973"/>
    <cellStyle name="Note 11 5 2 4" xfId="4015"/>
    <cellStyle name="Note 11 5 2 5" xfId="5057"/>
    <cellStyle name="Note 11 5 3" xfId="1419"/>
    <cellStyle name="Note 11 5 4" xfId="2461"/>
    <cellStyle name="Note 11 5 5" xfId="3503"/>
    <cellStyle name="Note 11 5 6" xfId="4545"/>
    <cellStyle name="Note 11 6" xfId="456"/>
    <cellStyle name="Note 11 6 2" xfId="950"/>
    <cellStyle name="Note 11 6 2 2" xfId="1994"/>
    <cellStyle name="Note 11 6 2 3" xfId="3036"/>
    <cellStyle name="Note 11 6 2 4" xfId="4078"/>
    <cellStyle name="Note 11 6 2 5" xfId="5120"/>
    <cellStyle name="Note 11 6 3" xfId="1500"/>
    <cellStyle name="Note 11 6 4" xfId="2542"/>
    <cellStyle name="Note 11 6 5" xfId="3584"/>
    <cellStyle name="Note 11 6 6" xfId="4626"/>
    <cellStyle name="Note 11 7" xfId="445"/>
    <cellStyle name="Note 11 7 2" xfId="944"/>
    <cellStyle name="Note 11 7 2 2" xfId="1988"/>
    <cellStyle name="Note 11 7 2 3" xfId="3030"/>
    <cellStyle name="Note 11 7 2 4" xfId="4072"/>
    <cellStyle name="Note 11 7 2 5" xfId="5114"/>
    <cellStyle name="Note 11 7 3" xfId="1489"/>
    <cellStyle name="Note 11 7 4" xfId="2531"/>
    <cellStyle name="Note 11 7 5" xfId="3573"/>
    <cellStyle name="Note 11 7 6" xfId="4615"/>
    <cellStyle name="Note 11 8" xfId="497"/>
    <cellStyle name="Note 11 8 2" xfId="987"/>
    <cellStyle name="Note 11 8 2 2" xfId="2031"/>
    <cellStyle name="Note 11 8 2 3" xfId="3073"/>
    <cellStyle name="Note 11 8 2 4" xfId="4115"/>
    <cellStyle name="Note 11 8 2 5" xfId="5157"/>
    <cellStyle name="Note 11 8 3" xfId="1541"/>
    <cellStyle name="Note 11 8 4" xfId="2583"/>
    <cellStyle name="Note 11 8 5" xfId="3625"/>
    <cellStyle name="Note 11 8 6" xfId="4667"/>
    <cellStyle name="Note 11 9" xfId="680"/>
    <cellStyle name="Note 11 9 2" xfId="1724"/>
    <cellStyle name="Note 11 9 3" xfId="2766"/>
    <cellStyle name="Note 11 9 4" xfId="3808"/>
    <cellStyle name="Note 11 9 5" xfId="4850"/>
    <cellStyle name="Note 12" xfId="140"/>
    <cellStyle name="Note 12 2" xfId="662"/>
    <cellStyle name="Note 12 2 2" xfId="1706"/>
    <cellStyle name="Note 12 2 3" xfId="2748"/>
    <cellStyle name="Note 12 2 4" xfId="3790"/>
    <cellStyle name="Note 12 2 5" xfId="4832"/>
    <cellStyle name="Note 12 3" xfId="1185"/>
    <cellStyle name="Note 12 4" xfId="2227"/>
    <cellStyle name="Note 12 5" xfId="3269"/>
    <cellStyle name="Note 12 6" xfId="4311"/>
    <cellStyle name="Note 13" xfId="57"/>
    <cellStyle name="Note 2" xfId="80"/>
    <cellStyle name="Note 2 10" xfId="601"/>
    <cellStyle name="Note 2 10 2" xfId="1645"/>
    <cellStyle name="Note 2 10 3" xfId="2687"/>
    <cellStyle name="Note 2 10 4" xfId="3729"/>
    <cellStyle name="Note 2 10 5" xfId="4771"/>
    <cellStyle name="Note 2 11" xfId="479"/>
    <cellStyle name="Note 2 11 2" xfId="1523"/>
    <cellStyle name="Note 2 11 3" xfId="2565"/>
    <cellStyle name="Note 2 11 4" xfId="3607"/>
    <cellStyle name="Note 2 11 5" xfId="4649"/>
    <cellStyle name="Note 2 12" xfId="1070"/>
    <cellStyle name="Note 2 12 2" xfId="2114"/>
    <cellStyle name="Note 2 12 3" xfId="3156"/>
    <cellStyle name="Note 2 12 4" xfId="4198"/>
    <cellStyle name="Note 2 12 5" xfId="5240"/>
    <cellStyle name="Note 2 13" xfId="1124"/>
    <cellStyle name="Note 2 14" xfId="2166"/>
    <cellStyle name="Note 2 15" xfId="3208"/>
    <cellStyle name="Note 2 16" xfId="4250"/>
    <cellStyle name="Note 2 2" xfId="175"/>
    <cellStyle name="Note 2 2 2" xfId="696"/>
    <cellStyle name="Note 2 2 2 2" xfId="1740"/>
    <cellStyle name="Note 2 2 2 3" xfId="2782"/>
    <cellStyle name="Note 2 2 2 4" xfId="3824"/>
    <cellStyle name="Note 2 2 2 5" xfId="4866"/>
    <cellStyle name="Note 2 2 3" xfId="1219"/>
    <cellStyle name="Note 2 2 4" xfId="2261"/>
    <cellStyle name="Note 2 2 5" xfId="3303"/>
    <cellStyle name="Note 2 2 6" xfId="4345"/>
    <cellStyle name="Note 2 3" xfId="244"/>
    <cellStyle name="Note 2 3 2" xfId="766"/>
    <cellStyle name="Note 2 3 2 2" xfId="1810"/>
    <cellStyle name="Note 2 3 2 3" xfId="2852"/>
    <cellStyle name="Note 2 3 2 4" xfId="3894"/>
    <cellStyle name="Note 2 3 2 5" xfId="4936"/>
    <cellStyle name="Note 2 3 3" xfId="1289"/>
    <cellStyle name="Note 2 3 4" xfId="2331"/>
    <cellStyle name="Note 2 3 5" xfId="3373"/>
    <cellStyle name="Note 2 3 6" xfId="4415"/>
    <cellStyle name="Note 2 4" xfId="263"/>
    <cellStyle name="Note 2 4 2" xfId="785"/>
    <cellStyle name="Note 2 4 2 2" xfId="1829"/>
    <cellStyle name="Note 2 4 2 3" xfId="2871"/>
    <cellStyle name="Note 2 4 2 4" xfId="3913"/>
    <cellStyle name="Note 2 4 2 5" xfId="4955"/>
    <cellStyle name="Note 2 4 3" xfId="1308"/>
    <cellStyle name="Note 2 4 4" xfId="2350"/>
    <cellStyle name="Note 2 4 5" xfId="3392"/>
    <cellStyle name="Note 2 4 6" xfId="4434"/>
    <cellStyle name="Note 2 5" xfId="321"/>
    <cellStyle name="Note 2 5 2" xfId="843"/>
    <cellStyle name="Note 2 5 2 2" xfId="1887"/>
    <cellStyle name="Note 2 5 2 3" xfId="2929"/>
    <cellStyle name="Note 2 5 2 4" xfId="3971"/>
    <cellStyle name="Note 2 5 2 5" xfId="5013"/>
    <cellStyle name="Note 2 5 3" xfId="1366"/>
    <cellStyle name="Note 2 5 4" xfId="2408"/>
    <cellStyle name="Note 2 5 5" xfId="3450"/>
    <cellStyle name="Note 2 5 6" xfId="4492"/>
    <cellStyle name="Note 2 6" xfId="390"/>
    <cellStyle name="Note 2 6 2" xfId="902"/>
    <cellStyle name="Note 2 6 2 2" xfId="1946"/>
    <cellStyle name="Note 2 6 2 3" xfId="2988"/>
    <cellStyle name="Note 2 6 2 4" xfId="4030"/>
    <cellStyle name="Note 2 6 2 5" xfId="5072"/>
    <cellStyle name="Note 2 6 3" xfId="1435"/>
    <cellStyle name="Note 2 6 4" xfId="2477"/>
    <cellStyle name="Note 2 6 5" xfId="3519"/>
    <cellStyle name="Note 2 6 6" xfId="4561"/>
    <cellStyle name="Note 2 7" xfId="344"/>
    <cellStyle name="Note 2 7 2" xfId="862"/>
    <cellStyle name="Note 2 7 2 2" xfId="1906"/>
    <cellStyle name="Note 2 7 2 3" xfId="2948"/>
    <cellStyle name="Note 2 7 2 4" xfId="3990"/>
    <cellStyle name="Note 2 7 2 5" xfId="5032"/>
    <cellStyle name="Note 2 7 3" xfId="1389"/>
    <cellStyle name="Note 2 7 4" xfId="2431"/>
    <cellStyle name="Note 2 7 5" xfId="3473"/>
    <cellStyle name="Note 2 7 6" xfId="4515"/>
    <cellStyle name="Note 2 8" xfId="492"/>
    <cellStyle name="Note 2 8 2" xfId="982"/>
    <cellStyle name="Note 2 8 2 2" xfId="2026"/>
    <cellStyle name="Note 2 8 2 3" xfId="3068"/>
    <cellStyle name="Note 2 8 2 4" xfId="4110"/>
    <cellStyle name="Note 2 8 2 5" xfId="5152"/>
    <cellStyle name="Note 2 8 3" xfId="1536"/>
    <cellStyle name="Note 2 8 4" xfId="2578"/>
    <cellStyle name="Note 2 8 5" xfId="3620"/>
    <cellStyle name="Note 2 8 6" xfId="4662"/>
    <cellStyle name="Note 2 9" xfId="470"/>
    <cellStyle name="Note 2 9 2" xfId="961"/>
    <cellStyle name="Note 2 9 2 2" xfId="2005"/>
    <cellStyle name="Note 2 9 2 3" xfId="3047"/>
    <cellStyle name="Note 2 9 2 4" xfId="4089"/>
    <cellStyle name="Note 2 9 2 5" xfId="5131"/>
    <cellStyle name="Note 2 9 3" xfId="1514"/>
    <cellStyle name="Note 2 9 4" xfId="2556"/>
    <cellStyle name="Note 2 9 5" xfId="3598"/>
    <cellStyle name="Note 2 9 6" xfId="4640"/>
    <cellStyle name="Note 3" xfId="79"/>
    <cellStyle name="Note 3 10" xfId="600"/>
    <cellStyle name="Note 3 10 2" xfId="1644"/>
    <cellStyle name="Note 3 10 3" xfId="2686"/>
    <cellStyle name="Note 3 10 4" xfId="3728"/>
    <cellStyle name="Note 3 10 5" xfId="4770"/>
    <cellStyle name="Note 3 11" xfId="469"/>
    <cellStyle name="Note 3 11 2" xfId="1513"/>
    <cellStyle name="Note 3 11 3" xfId="2555"/>
    <cellStyle name="Note 3 11 4" xfId="3597"/>
    <cellStyle name="Note 3 11 5" xfId="4639"/>
    <cellStyle name="Note 3 12" xfId="1069"/>
    <cellStyle name="Note 3 12 2" xfId="2113"/>
    <cellStyle name="Note 3 12 3" xfId="3155"/>
    <cellStyle name="Note 3 12 4" xfId="4197"/>
    <cellStyle name="Note 3 12 5" xfId="5239"/>
    <cellStyle name="Note 3 13" xfId="1123"/>
    <cellStyle name="Note 3 14" xfId="2165"/>
    <cellStyle name="Note 3 15" xfId="3207"/>
    <cellStyle name="Note 3 16" xfId="4249"/>
    <cellStyle name="Note 3 2" xfId="174"/>
    <cellStyle name="Note 3 2 2" xfId="695"/>
    <cellStyle name="Note 3 2 2 2" xfId="1739"/>
    <cellStyle name="Note 3 2 2 3" xfId="2781"/>
    <cellStyle name="Note 3 2 2 4" xfId="3823"/>
    <cellStyle name="Note 3 2 2 5" xfId="4865"/>
    <cellStyle name="Note 3 2 3" xfId="1218"/>
    <cellStyle name="Note 3 2 4" xfId="2260"/>
    <cellStyle name="Note 3 2 5" xfId="3302"/>
    <cellStyle name="Note 3 2 6" xfId="4344"/>
    <cellStyle name="Note 3 3" xfId="239"/>
    <cellStyle name="Note 3 3 2" xfId="761"/>
    <cellStyle name="Note 3 3 2 2" xfId="1805"/>
    <cellStyle name="Note 3 3 2 3" xfId="2847"/>
    <cellStyle name="Note 3 3 2 4" xfId="3889"/>
    <cellStyle name="Note 3 3 2 5" xfId="4931"/>
    <cellStyle name="Note 3 3 3" xfId="1284"/>
    <cellStyle name="Note 3 3 4" xfId="2326"/>
    <cellStyle name="Note 3 3 5" xfId="3368"/>
    <cellStyle name="Note 3 3 6" xfId="4410"/>
    <cellStyle name="Note 3 4" xfId="262"/>
    <cellStyle name="Note 3 4 2" xfId="784"/>
    <cellStyle name="Note 3 4 2 2" xfId="1828"/>
    <cellStyle name="Note 3 4 2 3" xfId="2870"/>
    <cellStyle name="Note 3 4 2 4" xfId="3912"/>
    <cellStyle name="Note 3 4 2 5" xfId="4954"/>
    <cellStyle name="Note 3 4 3" xfId="1307"/>
    <cellStyle name="Note 3 4 4" xfId="2349"/>
    <cellStyle name="Note 3 4 5" xfId="3391"/>
    <cellStyle name="Note 3 4 6" xfId="4433"/>
    <cellStyle name="Note 3 5" xfId="318"/>
    <cellStyle name="Note 3 5 2" xfId="840"/>
    <cellStyle name="Note 3 5 2 2" xfId="1884"/>
    <cellStyle name="Note 3 5 2 3" xfId="2926"/>
    <cellStyle name="Note 3 5 2 4" xfId="3968"/>
    <cellStyle name="Note 3 5 2 5" xfId="5010"/>
    <cellStyle name="Note 3 5 3" xfId="1363"/>
    <cellStyle name="Note 3 5 4" xfId="2405"/>
    <cellStyle name="Note 3 5 5" xfId="3447"/>
    <cellStyle name="Note 3 5 6" xfId="4489"/>
    <cellStyle name="Note 3 6" xfId="389"/>
    <cellStyle name="Note 3 6 2" xfId="901"/>
    <cellStyle name="Note 3 6 2 2" xfId="1945"/>
    <cellStyle name="Note 3 6 2 3" xfId="2987"/>
    <cellStyle name="Note 3 6 2 4" xfId="4029"/>
    <cellStyle name="Note 3 6 2 5" xfId="5071"/>
    <cellStyle name="Note 3 6 3" xfId="1434"/>
    <cellStyle name="Note 3 6 4" xfId="2476"/>
    <cellStyle name="Note 3 6 5" xfId="3518"/>
    <cellStyle name="Note 3 6 6" xfId="4560"/>
    <cellStyle name="Note 3 7" xfId="431"/>
    <cellStyle name="Note 3 7 2" xfId="936"/>
    <cellStyle name="Note 3 7 2 2" xfId="1980"/>
    <cellStyle name="Note 3 7 2 3" xfId="3022"/>
    <cellStyle name="Note 3 7 2 4" xfId="4064"/>
    <cellStyle name="Note 3 7 2 5" xfId="5106"/>
    <cellStyle name="Note 3 7 3" xfId="1476"/>
    <cellStyle name="Note 3 7 4" xfId="2518"/>
    <cellStyle name="Note 3 7 5" xfId="3560"/>
    <cellStyle name="Note 3 7 6" xfId="4602"/>
    <cellStyle name="Note 3 8" xfId="491"/>
    <cellStyle name="Note 3 8 2" xfId="981"/>
    <cellStyle name="Note 3 8 2 2" xfId="2025"/>
    <cellStyle name="Note 3 8 2 3" xfId="3067"/>
    <cellStyle name="Note 3 8 2 4" xfId="4109"/>
    <cellStyle name="Note 3 8 2 5" xfId="5151"/>
    <cellStyle name="Note 3 8 3" xfId="1535"/>
    <cellStyle name="Note 3 8 4" xfId="2577"/>
    <cellStyle name="Note 3 8 5" xfId="3619"/>
    <cellStyle name="Note 3 8 6" xfId="4661"/>
    <cellStyle name="Note 3 9" xfId="562"/>
    <cellStyle name="Note 3 9 2" xfId="1042"/>
    <cellStyle name="Note 3 9 2 2" xfId="2086"/>
    <cellStyle name="Note 3 9 2 3" xfId="3128"/>
    <cellStyle name="Note 3 9 2 4" xfId="4170"/>
    <cellStyle name="Note 3 9 2 5" xfId="5212"/>
    <cellStyle name="Note 3 9 3" xfId="1606"/>
    <cellStyle name="Note 3 9 4" xfId="2648"/>
    <cellStyle name="Note 3 9 5" xfId="3690"/>
    <cellStyle name="Note 3 9 6" xfId="4732"/>
    <cellStyle name="Note 4" xfId="75"/>
    <cellStyle name="Note 4 10" xfId="596"/>
    <cellStyle name="Note 4 10 2" xfId="1640"/>
    <cellStyle name="Note 4 10 3" xfId="2682"/>
    <cellStyle name="Note 4 10 4" xfId="3724"/>
    <cellStyle name="Note 4 10 5" xfId="4766"/>
    <cellStyle name="Note 4 11" xfId="448"/>
    <cellStyle name="Note 4 11 2" xfId="1492"/>
    <cellStyle name="Note 4 11 3" xfId="2534"/>
    <cellStyle name="Note 4 11 4" xfId="3576"/>
    <cellStyle name="Note 4 11 5" xfId="4618"/>
    <cellStyle name="Note 4 12" xfId="1065"/>
    <cellStyle name="Note 4 12 2" xfId="2109"/>
    <cellStyle name="Note 4 12 3" xfId="3151"/>
    <cellStyle name="Note 4 12 4" xfId="4193"/>
    <cellStyle name="Note 4 12 5" xfId="5235"/>
    <cellStyle name="Note 4 13" xfId="1119"/>
    <cellStyle name="Note 4 14" xfId="2161"/>
    <cellStyle name="Note 4 15" xfId="3203"/>
    <cellStyle name="Note 4 16" xfId="4245"/>
    <cellStyle name="Note 4 2" xfId="170"/>
    <cellStyle name="Note 4 2 2" xfId="691"/>
    <cellStyle name="Note 4 2 2 2" xfId="1735"/>
    <cellStyle name="Note 4 2 2 3" xfId="2777"/>
    <cellStyle name="Note 4 2 2 4" xfId="3819"/>
    <cellStyle name="Note 4 2 2 5" xfId="4861"/>
    <cellStyle name="Note 4 2 3" xfId="1214"/>
    <cellStyle name="Note 4 2 4" xfId="2256"/>
    <cellStyle name="Note 4 2 5" xfId="3298"/>
    <cellStyle name="Note 4 2 6" xfId="4340"/>
    <cellStyle name="Note 4 3" xfId="220"/>
    <cellStyle name="Note 4 3 2" xfId="742"/>
    <cellStyle name="Note 4 3 2 2" xfId="1786"/>
    <cellStyle name="Note 4 3 2 3" xfId="2828"/>
    <cellStyle name="Note 4 3 2 4" xfId="3870"/>
    <cellStyle name="Note 4 3 2 5" xfId="4912"/>
    <cellStyle name="Note 4 3 3" xfId="1265"/>
    <cellStyle name="Note 4 3 4" xfId="2307"/>
    <cellStyle name="Note 4 3 5" xfId="3349"/>
    <cellStyle name="Note 4 3 6" xfId="4391"/>
    <cellStyle name="Note 4 4" xfId="258"/>
    <cellStyle name="Note 4 4 2" xfId="780"/>
    <cellStyle name="Note 4 4 2 2" xfId="1824"/>
    <cellStyle name="Note 4 4 2 3" xfId="2866"/>
    <cellStyle name="Note 4 4 2 4" xfId="3908"/>
    <cellStyle name="Note 4 4 2 5" xfId="4950"/>
    <cellStyle name="Note 4 4 3" xfId="1303"/>
    <cellStyle name="Note 4 4 4" xfId="2345"/>
    <cellStyle name="Note 4 4 5" xfId="3387"/>
    <cellStyle name="Note 4 4 6" xfId="4429"/>
    <cellStyle name="Note 4 5" xfId="300"/>
    <cellStyle name="Note 4 5 2" xfId="822"/>
    <cellStyle name="Note 4 5 2 2" xfId="1866"/>
    <cellStyle name="Note 4 5 2 3" xfId="2908"/>
    <cellStyle name="Note 4 5 2 4" xfId="3950"/>
    <cellStyle name="Note 4 5 2 5" xfId="4992"/>
    <cellStyle name="Note 4 5 3" xfId="1345"/>
    <cellStyle name="Note 4 5 4" xfId="2387"/>
    <cellStyle name="Note 4 5 5" xfId="3429"/>
    <cellStyle name="Note 4 5 6" xfId="4471"/>
    <cellStyle name="Note 4 6" xfId="385"/>
    <cellStyle name="Note 4 6 2" xfId="897"/>
    <cellStyle name="Note 4 6 2 2" xfId="1941"/>
    <cellStyle name="Note 4 6 2 3" xfId="2983"/>
    <cellStyle name="Note 4 6 2 4" xfId="4025"/>
    <cellStyle name="Note 4 6 2 5" xfId="5067"/>
    <cellStyle name="Note 4 6 3" xfId="1430"/>
    <cellStyle name="Note 4 6 4" xfId="2472"/>
    <cellStyle name="Note 4 6 5" xfId="3514"/>
    <cellStyle name="Note 4 6 6" xfId="4556"/>
    <cellStyle name="Note 4 7" xfId="340"/>
    <cellStyle name="Note 4 7 2" xfId="858"/>
    <cellStyle name="Note 4 7 2 2" xfId="1902"/>
    <cellStyle name="Note 4 7 2 3" xfId="2944"/>
    <cellStyle name="Note 4 7 2 4" xfId="3986"/>
    <cellStyle name="Note 4 7 2 5" xfId="5028"/>
    <cellStyle name="Note 4 7 3" xfId="1385"/>
    <cellStyle name="Note 4 7 4" xfId="2427"/>
    <cellStyle name="Note 4 7 5" xfId="3469"/>
    <cellStyle name="Note 4 7 6" xfId="4511"/>
    <cellStyle name="Note 4 8" xfId="487"/>
    <cellStyle name="Note 4 8 2" xfId="977"/>
    <cellStyle name="Note 4 8 2 2" xfId="2021"/>
    <cellStyle name="Note 4 8 2 3" xfId="3063"/>
    <cellStyle name="Note 4 8 2 4" xfId="4105"/>
    <cellStyle name="Note 4 8 2 5" xfId="5147"/>
    <cellStyle name="Note 4 8 3" xfId="1531"/>
    <cellStyle name="Note 4 8 4" xfId="2573"/>
    <cellStyle name="Note 4 8 5" xfId="3615"/>
    <cellStyle name="Note 4 8 6" xfId="4657"/>
    <cellStyle name="Note 4 9" xfId="536"/>
    <cellStyle name="Note 4 9 2" xfId="1024"/>
    <cellStyle name="Note 4 9 2 2" xfId="2068"/>
    <cellStyle name="Note 4 9 2 3" xfId="3110"/>
    <cellStyle name="Note 4 9 2 4" xfId="4152"/>
    <cellStyle name="Note 4 9 2 5" xfId="5194"/>
    <cellStyle name="Note 4 9 3" xfId="1580"/>
    <cellStyle name="Note 4 9 4" xfId="2622"/>
    <cellStyle name="Note 4 9 5" xfId="3664"/>
    <cellStyle name="Note 4 9 6" xfId="4706"/>
    <cellStyle name="Note 5" xfId="77"/>
    <cellStyle name="Note 5 10" xfId="598"/>
    <cellStyle name="Note 5 10 2" xfId="1642"/>
    <cellStyle name="Note 5 10 3" xfId="2684"/>
    <cellStyle name="Note 5 10 4" xfId="3726"/>
    <cellStyle name="Note 5 10 5" xfId="4768"/>
    <cellStyle name="Note 5 11" xfId="452"/>
    <cellStyle name="Note 5 11 2" xfId="1496"/>
    <cellStyle name="Note 5 11 3" xfId="2538"/>
    <cellStyle name="Note 5 11 4" xfId="3580"/>
    <cellStyle name="Note 5 11 5" xfId="4622"/>
    <cellStyle name="Note 5 12" xfId="1067"/>
    <cellStyle name="Note 5 12 2" xfId="2111"/>
    <cellStyle name="Note 5 12 3" xfId="3153"/>
    <cellStyle name="Note 5 12 4" xfId="4195"/>
    <cellStyle name="Note 5 12 5" xfId="5237"/>
    <cellStyle name="Note 5 13" xfId="1121"/>
    <cellStyle name="Note 5 14" xfId="2163"/>
    <cellStyle name="Note 5 15" xfId="3205"/>
    <cellStyle name="Note 5 16" xfId="4247"/>
    <cellStyle name="Note 5 2" xfId="172"/>
    <cellStyle name="Note 5 2 2" xfId="693"/>
    <cellStyle name="Note 5 2 2 2" xfId="1737"/>
    <cellStyle name="Note 5 2 2 3" xfId="2779"/>
    <cellStyle name="Note 5 2 2 4" xfId="3821"/>
    <cellStyle name="Note 5 2 2 5" xfId="4863"/>
    <cellStyle name="Note 5 2 3" xfId="1216"/>
    <cellStyle name="Note 5 2 4" xfId="2258"/>
    <cellStyle name="Note 5 2 5" xfId="3300"/>
    <cellStyle name="Note 5 2 6" xfId="4342"/>
    <cellStyle name="Note 5 3" xfId="233"/>
    <cellStyle name="Note 5 3 2" xfId="755"/>
    <cellStyle name="Note 5 3 2 2" xfId="1799"/>
    <cellStyle name="Note 5 3 2 3" xfId="2841"/>
    <cellStyle name="Note 5 3 2 4" xfId="3883"/>
    <cellStyle name="Note 5 3 2 5" xfId="4925"/>
    <cellStyle name="Note 5 3 3" xfId="1278"/>
    <cellStyle name="Note 5 3 4" xfId="2320"/>
    <cellStyle name="Note 5 3 5" xfId="3362"/>
    <cellStyle name="Note 5 3 6" xfId="4404"/>
    <cellStyle name="Note 5 4" xfId="260"/>
    <cellStyle name="Note 5 4 2" xfId="782"/>
    <cellStyle name="Note 5 4 2 2" xfId="1826"/>
    <cellStyle name="Note 5 4 2 3" xfId="2868"/>
    <cellStyle name="Note 5 4 2 4" xfId="3910"/>
    <cellStyle name="Note 5 4 2 5" xfId="4952"/>
    <cellStyle name="Note 5 4 3" xfId="1305"/>
    <cellStyle name="Note 5 4 4" xfId="2347"/>
    <cellStyle name="Note 5 4 5" xfId="3389"/>
    <cellStyle name="Note 5 4 6" xfId="4431"/>
    <cellStyle name="Note 5 5" xfId="312"/>
    <cellStyle name="Note 5 5 2" xfId="834"/>
    <cellStyle name="Note 5 5 2 2" xfId="1878"/>
    <cellStyle name="Note 5 5 2 3" xfId="2920"/>
    <cellStyle name="Note 5 5 2 4" xfId="3962"/>
    <cellStyle name="Note 5 5 2 5" xfId="5004"/>
    <cellStyle name="Note 5 5 3" xfId="1357"/>
    <cellStyle name="Note 5 5 4" xfId="2399"/>
    <cellStyle name="Note 5 5 5" xfId="3441"/>
    <cellStyle name="Note 5 5 6" xfId="4483"/>
    <cellStyle name="Note 5 6" xfId="387"/>
    <cellStyle name="Note 5 6 2" xfId="899"/>
    <cellStyle name="Note 5 6 2 2" xfId="1943"/>
    <cellStyle name="Note 5 6 2 3" xfId="2985"/>
    <cellStyle name="Note 5 6 2 4" xfId="4027"/>
    <cellStyle name="Note 5 6 2 5" xfId="5069"/>
    <cellStyle name="Note 5 6 3" xfId="1432"/>
    <cellStyle name="Note 5 6 4" xfId="2474"/>
    <cellStyle name="Note 5 6 5" xfId="3516"/>
    <cellStyle name="Note 5 6 6" xfId="4558"/>
    <cellStyle name="Note 5 7" xfId="342"/>
    <cellStyle name="Note 5 7 2" xfId="860"/>
    <cellStyle name="Note 5 7 2 2" xfId="1904"/>
    <cellStyle name="Note 5 7 2 3" xfId="2946"/>
    <cellStyle name="Note 5 7 2 4" xfId="3988"/>
    <cellStyle name="Note 5 7 2 5" xfId="5030"/>
    <cellStyle name="Note 5 7 3" xfId="1387"/>
    <cellStyle name="Note 5 7 4" xfId="2429"/>
    <cellStyle name="Note 5 7 5" xfId="3471"/>
    <cellStyle name="Note 5 7 6" xfId="4513"/>
    <cellStyle name="Note 5 8" xfId="489"/>
    <cellStyle name="Note 5 8 2" xfId="979"/>
    <cellStyle name="Note 5 8 2 2" xfId="2023"/>
    <cellStyle name="Note 5 8 2 3" xfId="3065"/>
    <cellStyle name="Note 5 8 2 4" xfId="4107"/>
    <cellStyle name="Note 5 8 2 5" xfId="5149"/>
    <cellStyle name="Note 5 8 3" xfId="1533"/>
    <cellStyle name="Note 5 8 4" xfId="2575"/>
    <cellStyle name="Note 5 8 5" xfId="3617"/>
    <cellStyle name="Note 5 8 6" xfId="4659"/>
    <cellStyle name="Note 5 9" xfId="556"/>
    <cellStyle name="Note 5 9 2" xfId="1038"/>
    <cellStyle name="Note 5 9 2 2" xfId="2082"/>
    <cellStyle name="Note 5 9 2 3" xfId="3124"/>
    <cellStyle name="Note 5 9 2 4" xfId="4166"/>
    <cellStyle name="Note 5 9 2 5" xfId="5208"/>
    <cellStyle name="Note 5 9 3" xfId="1600"/>
    <cellStyle name="Note 5 9 4" xfId="2642"/>
    <cellStyle name="Note 5 9 5" xfId="3684"/>
    <cellStyle name="Note 5 9 6" xfId="4726"/>
    <cellStyle name="Note 6" xfId="94"/>
    <cellStyle name="Note 6 10" xfId="615"/>
    <cellStyle name="Note 6 10 2" xfId="1659"/>
    <cellStyle name="Note 6 10 3" xfId="2701"/>
    <cellStyle name="Note 6 10 4" xfId="3743"/>
    <cellStyle name="Note 6 10 5" xfId="4785"/>
    <cellStyle name="Note 6 11" xfId="363"/>
    <cellStyle name="Note 6 11 2" xfId="1408"/>
    <cellStyle name="Note 6 11 3" xfId="2450"/>
    <cellStyle name="Note 6 11 4" xfId="3492"/>
    <cellStyle name="Note 6 11 5" xfId="4534"/>
    <cellStyle name="Note 6 12" xfId="1084"/>
    <cellStyle name="Note 6 12 2" xfId="2128"/>
    <cellStyle name="Note 6 12 3" xfId="3170"/>
    <cellStyle name="Note 6 12 4" xfId="4212"/>
    <cellStyle name="Note 6 12 5" xfId="5254"/>
    <cellStyle name="Note 6 13" xfId="1138"/>
    <cellStyle name="Note 6 14" xfId="2180"/>
    <cellStyle name="Note 6 15" xfId="3222"/>
    <cellStyle name="Note 6 16" xfId="4264"/>
    <cellStyle name="Note 6 2" xfId="188"/>
    <cellStyle name="Note 6 2 2" xfId="710"/>
    <cellStyle name="Note 6 2 2 2" xfId="1754"/>
    <cellStyle name="Note 6 2 2 3" xfId="2796"/>
    <cellStyle name="Note 6 2 2 4" xfId="3838"/>
    <cellStyle name="Note 6 2 2 5" xfId="4880"/>
    <cellStyle name="Note 6 2 3" xfId="1233"/>
    <cellStyle name="Note 6 2 4" xfId="2275"/>
    <cellStyle name="Note 6 2 5" xfId="3317"/>
    <cellStyle name="Note 6 2 6" xfId="4359"/>
    <cellStyle name="Note 6 3" xfId="212"/>
    <cellStyle name="Note 6 3 2" xfId="734"/>
    <cellStyle name="Note 6 3 2 2" xfId="1778"/>
    <cellStyle name="Note 6 3 2 3" xfId="2820"/>
    <cellStyle name="Note 6 3 2 4" xfId="3862"/>
    <cellStyle name="Note 6 3 2 5" xfId="4904"/>
    <cellStyle name="Note 6 3 3" xfId="1257"/>
    <cellStyle name="Note 6 3 4" xfId="2299"/>
    <cellStyle name="Note 6 3 5" xfId="3341"/>
    <cellStyle name="Note 6 3 6" xfId="4383"/>
    <cellStyle name="Note 6 4" xfId="274"/>
    <cellStyle name="Note 6 4 2" xfId="796"/>
    <cellStyle name="Note 6 4 2 2" xfId="1840"/>
    <cellStyle name="Note 6 4 2 3" xfId="2882"/>
    <cellStyle name="Note 6 4 2 4" xfId="3924"/>
    <cellStyle name="Note 6 4 2 5" xfId="4966"/>
    <cellStyle name="Note 6 4 3" xfId="1319"/>
    <cellStyle name="Note 6 4 4" xfId="2361"/>
    <cellStyle name="Note 6 4 5" xfId="3403"/>
    <cellStyle name="Note 6 4 6" xfId="4445"/>
    <cellStyle name="Note 6 5" xfId="213"/>
    <cellStyle name="Note 6 5 2" xfId="735"/>
    <cellStyle name="Note 6 5 2 2" xfId="1779"/>
    <cellStyle name="Note 6 5 2 3" xfId="2821"/>
    <cellStyle name="Note 6 5 2 4" xfId="3863"/>
    <cellStyle name="Note 6 5 2 5" xfId="4905"/>
    <cellStyle name="Note 6 5 3" xfId="1258"/>
    <cellStyle name="Note 6 5 4" xfId="2300"/>
    <cellStyle name="Note 6 5 5" xfId="3342"/>
    <cellStyle name="Note 6 5 6" xfId="4384"/>
    <cellStyle name="Note 6 6" xfId="404"/>
    <cellStyle name="Note 6 6 2" xfId="913"/>
    <cellStyle name="Note 6 6 2 2" xfId="1957"/>
    <cellStyle name="Note 6 6 2 3" xfId="2999"/>
    <cellStyle name="Note 6 6 2 4" xfId="4041"/>
    <cellStyle name="Note 6 6 2 5" xfId="5083"/>
    <cellStyle name="Note 6 6 3" xfId="1449"/>
    <cellStyle name="Note 6 6 4" xfId="2491"/>
    <cellStyle name="Note 6 6 5" xfId="3533"/>
    <cellStyle name="Note 6 6 6" xfId="4575"/>
    <cellStyle name="Note 6 7" xfId="348"/>
    <cellStyle name="Note 6 7 2" xfId="866"/>
    <cellStyle name="Note 6 7 2 2" xfId="1910"/>
    <cellStyle name="Note 6 7 2 3" xfId="2952"/>
    <cellStyle name="Note 6 7 2 4" xfId="3994"/>
    <cellStyle name="Note 6 7 2 5" xfId="5036"/>
    <cellStyle name="Note 6 7 3" xfId="1393"/>
    <cellStyle name="Note 6 7 4" xfId="2435"/>
    <cellStyle name="Note 6 7 5" xfId="3477"/>
    <cellStyle name="Note 6 7 6" xfId="4519"/>
    <cellStyle name="Note 6 8" xfId="505"/>
    <cellStyle name="Note 6 8 2" xfId="995"/>
    <cellStyle name="Note 6 8 2 2" xfId="2039"/>
    <cellStyle name="Note 6 8 2 3" xfId="3081"/>
    <cellStyle name="Note 6 8 2 4" xfId="4123"/>
    <cellStyle name="Note 6 8 2 5" xfId="5165"/>
    <cellStyle name="Note 6 8 3" xfId="1549"/>
    <cellStyle name="Note 6 8 4" xfId="2591"/>
    <cellStyle name="Note 6 8 5" xfId="3633"/>
    <cellStyle name="Note 6 8 6" xfId="4675"/>
    <cellStyle name="Note 6 9" xfId="540"/>
    <cellStyle name="Note 6 9 2" xfId="1027"/>
    <cellStyle name="Note 6 9 2 2" xfId="2071"/>
    <cellStyle name="Note 6 9 2 3" xfId="3113"/>
    <cellStyle name="Note 6 9 2 4" xfId="4155"/>
    <cellStyle name="Note 6 9 2 5" xfId="5197"/>
    <cellStyle name="Note 6 9 3" xfId="1584"/>
    <cellStyle name="Note 6 9 4" xfId="2626"/>
    <cellStyle name="Note 6 9 5" xfId="3668"/>
    <cellStyle name="Note 6 9 6" xfId="4710"/>
    <cellStyle name="Note 7" xfId="99"/>
    <cellStyle name="Note 7 10" xfId="620"/>
    <cellStyle name="Note 7 10 2" xfId="1664"/>
    <cellStyle name="Note 7 10 3" xfId="2706"/>
    <cellStyle name="Note 7 10 4" xfId="3748"/>
    <cellStyle name="Note 7 10 5" xfId="4790"/>
    <cellStyle name="Note 7 11" xfId="440"/>
    <cellStyle name="Note 7 11 2" xfId="1484"/>
    <cellStyle name="Note 7 11 3" xfId="2526"/>
    <cellStyle name="Note 7 11 4" xfId="3568"/>
    <cellStyle name="Note 7 11 5" xfId="4610"/>
    <cellStyle name="Note 7 12" xfId="1089"/>
    <cellStyle name="Note 7 12 2" xfId="2133"/>
    <cellStyle name="Note 7 12 3" xfId="3175"/>
    <cellStyle name="Note 7 12 4" xfId="4217"/>
    <cellStyle name="Note 7 12 5" xfId="5259"/>
    <cellStyle name="Note 7 13" xfId="1143"/>
    <cellStyle name="Note 7 14" xfId="2185"/>
    <cellStyle name="Note 7 15" xfId="3227"/>
    <cellStyle name="Note 7 16" xfId="4269"/>
    <cellStyle name="Note 7 2" xfId="193"/>
    <cellStyle name="Note 7 2 2" xfId="715"/>
    <cellStyle name="Note 7 2 2 2" xfId="1759"/>
    <cellStyle name="Note 7 2 2 3" xfId="2801"/>
    <cellStyle name="Note 7 2 2 4" xfId="3843"/>
    <cellStyle name="Note 7 2 2 5" xfId="4885"/>
    <cellStyle name="Note 7 2 3" xfId="1238"/>
    <cellStyle name="Note 7 2 4" xfId="2280"/>
    <cellStyle name="Note 7 2 5" xfId="3322"/>
    <cellStyle name="Note 7 2 6" xfId="4364"/>
    <cellStyle name="Note 7 3" xfId="234"/>
    <cellStyle name="Note 7 3 2" xfId="756"/>
    <cellStyle name="Note 7 3 2 2" xfId="1800"/>
    <cellStyle name="Note 7 3 2 3" xfId="2842"/>
    <cellStyle name="Note 7 3 2 4" xfId="3884"/>
    <cellStyle name="Note 7 3 2 5" xfId="4926"/>
    <cellStyle name="Note 7 3 3" xfId="1279"/>
    <cellStyle name="Note 7 3 4" xfId="2321"/>
    <cellStyle name="Note 7 3 5" xfId="3363"/>
    <cellStyle name="Note 7 3 6" xfId="4405"/>
    <cellStyle name="Note 7 4" xfId="279"/>
    <cellStyle name="Note 7 4 2" xfId="801"/>
    <cellStyle name="Note 7 4 2 2" xfId="1845"/>
    <cellStyle name="Note 7 4 2 3" xfId="2887"/>
    <cellStyle name="Note 7 4 2 4" xfId="3929"/>
    <cellStyle name="Note 7 4 2 5" xfId="4971"/>
    <cellStyle name="Note 7 4 3" xfId="1324"/>
    <cellStyle name="Note 7 4 4" xfId="2366"/>
    <cellStyle name="Note 7 4 5" xfId="3408"/>
    <cellStyle name="Note 7 4 6" xfId="4450"/>
    <cellStyle name="Note 7 5" xfId="313"/>
    <cellStyle name="Note 7 5 2" xfId="835"/>
    <cellStyle name="Note 7 5 2 2" xfId="1879"/>
    <cellStyle name="Note 7 5 2 3" xfId="2921"/>
    <cellStyle name="Note 7 5 2 4" xfId="3963"/>
    <cellStyle name="Note 7 5 2 5" xfId="5005"/>
    <cellStyle name="Note 7 5 3" xfId="1358"/>
    <cellStyle name="Note 7 5 4" xfId="2400"/>
    <cellStyle name="Note 7 5 5" xfId="3442"/>
    <cellStyle name="Note 7 5 6" xfId="4484"/>
    <cellStyle name="Note 7 6" xfId="409"/>
    <cellStyle name="Note 7 6 2" xfId="918"/>
    <cellStyle name="Note 7 6 2 2" xfId="1962"/>
    <cellStyle name="Note 7 6 2 3" xfId="3004"/>
    <cellStyle name="Note 7 6 2 4" xfId="4046"/>
    <cellStyle name="Note 7 6 2 5" xfId="5088"/>
    <cellStyle name="Note 7 6 3" xfId="1454"/>
    <cellStyle name="Note 7 6 4" xfId="2496"/>
    <cellStyle name="Note 7 6 5" xfId="3538"/>
    <cellStyle name="Note 7 6 6" xfId="4580"/>
    <cellStyle name="Note 7 7" xfId="352"/>
    <cellStyle name="Note 7 7 2" xfId="870"/>
    <cellStyle name="Note 7 7 2 2" xfId="1914"/>
    <cellStyle name="Note 7 7 2 3" xfId="2956"/>
    <cellStyle name="Note 7 7 2 4" xfId="3998"/>
    <cellStyle name="Note 7 7 2 5" xfId="5040"/>
    <cellStyle name="Note 7 7 3" xfId="1397"/>
    <cellStyle name="Note 7 7 4" xfId="2439"/>
    <cellStyle name="Note 7 7 5" xfId="3481"/>
    <cellStyle name="Note 7 7 6" xfId="4523"/>
    <cellStyle name="Note 7 8" xfId="510"/>
    <cellStyle name="Note 7 8 2" xfId="1000"/>
    <cellStyle name="Note 7 8 2 2" xfId="2044"/>
    <cellStyle name="Note 7 8 2 3" xfId="3086"/>
    <cellStyle name="Note 7 8 2 4" xfId="4128"/>
    <cellStyle name="Note 7 8 2 5" xfId="5170"/>
    <cellStyle name="Note 7 8 3" xfId="1554"/>
    <cellStyle name="Note 7 8 4" xfId="2596"/>
    <cellStyle name="Note 7 8 5" xfId="3638"/>
    <cellStyle name="Note 7 8 6" xfId="4680"/>
    <cellStyle name="Note 7 9" xfId="555"/>
    <cellStyle name="Note 7 9 2" xfId="1037"/>
    <cellStyle name="Note 7 9 2 2" xfId="2081"/>
    <cellStyle name="Note 7 9 2 3" xfId="3123"/>
    <cellStyle name="Note 7 9 2 4" xfId="4165"/>
    <cellStyle name="Note 7 9 2 5" xfId="5207"/>
    <cellStyle name="Note 7 9 3" xfId="1599"/>
    <cellStyle name="Note 7 9 4" xfId="2641"/>
    <cellStyle name="Note 7 9 5" xfId="3683"/>
    <cellStyle name="Note 7 9 6" xfId="4725"/>
    <cellStyle name="Note 8" xfId="101"/>
    <cellStyle name="Note 8 10" xfId="622"/>
    <cellStyle name="Note 8 10 2" xfId="1666"/>
    <cellStyle name="Note 8 10 3" xfId="2708"/>
    <cellStyle name="Note 8 10 4" xfId="3750"/>
    <cellStyle name="Note 8 10 5" xfId="4792"/>
    <cellStyle name="Note 8 11" xfId="369"/>
    <cellStyle name="Note 8 11 2" xfId="1414"/>
    <cellStyle name="Note 8 11 3" xfId="2456"/>
    <cellStyle name="Note 8 11 4" xfId="3498"/>
    <cellStyle name="Note 8 11 5" xfId="4540"/>
    <cellStyle name="Note 8 12" xfId="1091"/>
    <cellStyle name="Note 8 12 2" xfId="2135"/>
    <cellStyle name="Note 8 12 3" xfId="3177"/>
    <cellStyle name="Note 8 12 4" xfId="4219"/>
    <cellStyle name="Note 8 12 5" xfId="5261"/>
    <cellStyle name="Note 8 13" xfId="1145"/>
    <cellStyle name="Note 8 14" xfId="2187"/>
    <cellStyle name="Note 8 15" xfId="3229"/>
    <cellStyle name="Note 8 16" xfId="4271"/>
    <cellStyle name="Note 8 2" xfId="195"/>
    <cellStyle name="Note 8 2 2" xfId="717"/>
    <cellStyle name="Note 8 2 2 2" xfId="1761"/>
    <cellStyle name="Note 8 2 2 3" xfId="2803"/>
    <cellStyle name="Note 8 2 2 4" xfId="3845"/>
    <cellStyle name="Note 8 2 2 5" xfId="4887"/>
    <cellStyle name="Note 8 2 3" xfId="1240"/>
    <cellStyle name="Note 8 2 4" xfId="2282"/>
    <cellStyle name="Note 8 2 5" xfId="3324"/>
    <cellStyle name="Note 8 2 6" xfId="4366"/>
    <cellStyle name="Note 8 3" xfId="240"/>
    <cellStyle name="Note 8 3 2" xfId="762"/>
    <cellStyle name="Note 8 3 2 2" xfId="1806"/>
    <cellStyle name="Note 8 3 2 3" xfId="2848"/>
    <cellStyle name="Note 8 3 2 4" xfId="3890"/>
    <cellStyle name="Note 8 3 2 5" xfId="4932"/>
    <cellStyle name="Note 8 3 3" xfId="1285"/>
    <cellStyle name="Note 8 3 4" xfId="2327"/>
    <cellStyle name="Note 8 3 5" xfId="3369"/>
    <cellStyle name="Note 8 3 6" xfId="4411"/>
    <cellStyle name="Note 8 4" xfId="281"/>
    <cellStyle name="Note 8 4 2" xfId="803"/>
    <cellStyle name="Note 8 4 2 2" xfId="1847"/>
    <cellStyle name="Note 8 4 2 3" xfId="2889"/>
    <cellStyle name="Note 8 4 2 4" xfId="3931"/>
    <cellStyle name="Note 8 4 2 5" xfId="4973"/>
    <cellStyle name="Note 8 4 3" xfId="1326"/>
    <cellStyle name="Note 8 4 4" xfId="2368"/>
    <cellStyle name="Note 8 4 5" xfId="3410"/>
    <cellStyle name="Note 8 4 6" xfId="4452"/>
    <cellStyle name="Note 8 5" xfId="319"/>
    <cellStyle name="Note 8 5 2" xfId="841"/>
    <cellStyle name="Note 8 5 2 2" xfId="1885"/>
    <cellStyle name="Note 8 5 2 3" xfId="2927"/>
    <cellStyle name="Note 8 5 2 4" xfId="3969"/>
    <cellStyle name="Note 8 5 2 5" xfId="5011"/>
    <cellStyle name="Note 8 5 3" xfId="1364"/>
    <cellStyle name="Note 8 5 4" xfId="2406"/>
    <cellStyle name="Note 8 5 5" xfId="3448"/>
    <cellStyle name="Note 8 5 6" xfId="4490"/>
    <cellStyle name="Note 8 6" xfId="411"/>
    <cellStyle name="Note 8 6 2" xfId="920"/>
    <cellStyle name="Note 8 6 2 2" xfId="1964"/>
    <cellStyle name="Note 8 6 2 3" xfId="3006"/>
    <cellStyle name="Note 8 6 2 4" xfId="4048"/>
    <cellStyle name="Note 8 6 2 5" xfId="5090"/>
    <cellStyle name="Note 8 6 3" xfId="1456"/>
    <cellStyle name="Note 8 6 4" xfId="2498"/>
    <cellStyle name="Note 8 6 5" xfId="3540"/>
    <cellStyle name="Note 8 6 6" xfId="4582"/>
    <cellStyle name="Note 8 7" xfId="354"/>
    <cellStyle name="Note 8 7 2" xfId="872"/>
    <cellStyle name="Note 8 7 2 2" xfId="1916"/>
    <cellStyle name="Note 8 7 2 3" xfId="2958"/>
    <cellStyle name="Note 8 7 2 4" xfId="4000"/>
    <cellStyle name="Note 8 7 2 5" xfId="5042"/>
    <cellStyle name="Note 8 7 3" xfId="1399"/>
    <cellStyle name="Note 8 7 4" xfId="2441"/>
    <cellStyle name="Note 8 7 5" xfId="3483"/>
    <cellStyle name="Note 8 7 6" xfId="4525"/>
    <cellStyle name="Note 8 8" xfId="512"/>
    <cellStyle name="Note 8 8 2" xfId="1002"/>
    <cellStyle name="Note 8 8 2 2" xfId="2046"/>
    <cellStyle name="Note 8 8 2 3" xfId="3088"/>
    <cellStyle name="Note 8 8 2 4" xfId="4130"/>
    <cellStyle name="Note 8 8 2 5" xfId="5172"/>
    <cellStyle name="Note 8 8 3" xfId="1556"/>
    <cellStyle name="Note 8 8 4" xfId="2598"/>
    <cellStyle name="Note 8 8 5" xfId="3640"/>
    <cellStyle name="Note 8 8 6" xfId="4682"/>
    <cellStyle name="Note 8 9" xfId="569"/>
    <cellStyle name="Note 8 9 2" xfId="1045"/>
    <cellStyle name="Note 8 9 2 2" xfId="2089"/>
    <cellStyle name="Note 8 9 2 3" xfId="3131"/>
    <cellStyle name="Note 8 9 2 4" xfId="4173"/>
    <cellStyle name="Note 8 9 2 5" xfId="5215"/>
    <cellStyle name="Note 8 9 3" xfId="1613"/>
    <cellStyle name="Note 8 9 4" xfId="2655"/>
    <cellStyle name="Note 8 9 5" xfId="3697"/>
    <cellStyle name="Note 8 9 6" xfId="4739"/>
    <cellStyle name="Note 9" xfId="113"/>
    <cellStyle name="Note 9 10" xfId="634"/>
    <cellStyle name="Note 9 10 2" xfId="1678"/>
    <cellStyle name="Note 9 10 3" xfId="2720"/>
    <cellStyle name="Note 9 10 4" xfId="3762"/>
    <cellStyle name="Note 9 10 5" xfId="4804"/>
    <cellStyle name="Note 9 11" xfId="436"/>
    <cellStyle name="Note 9 11 2" xfId="1480"/>
    <cellStyle name="Note 9 11 3" xfId="2522"/>
    <cellStyle name="Note 9 11 4" xfId="3564"/>
    <cellStyle name="Note 9 11 5" xfId="4606"/>
    <cellStyle name="Note 9 12" xfId="1097"/>
    <cellStyle name="Note 9 12 2" xfId="2141"/>
    <cellStyle name="Note 9 12 3" xfId="3183"/>
    <cellStyle name="Note 9 12 4" xfId="4225"/>
    <cellStyle name="Note 9 12 5" xfId="5267"/>
    <cellStyle name="Note 9 13" xfId="1157"/>
    <cellStyle name="Note 9 14" xfId="2199"/>
    <cellStyle name="Note 9 15" xfId="3241"/>
    <cellStyle name="Note 9 16" xfId="4283"/>
    <cellStyle name="Note 9 2" xfId="201"/>
    <cellStyle name="Note 9 2 2" xfId="723"/>
    <cellStyle name="Note 9 2 2 2" xfId="1767"/>
    <cellStyle name="Note 9 2 2 3" xfId="2809"/>
    <cellStyle name="Note 9 2 2 4" xfId="3851"/>
    <cellStyle name="Note 9 2 2 5" xfId="4893"/>
    <cellStyle name="Note 9 2 3" xfId="1246"/>
    <cellStyle name="Note 9 2 4" xfId="2288"/>
    <cellStyle name="Note 9 2 5" xfId="3330"/>
    <cellStyle name="Note 9 2 6" xfId="4372"/>
    <cellStyle name="Note 9 3" xfId="109"/>
    <cellStyle name="Note 9 3 2" xfId="630"/>
    <cellStyle name="Note 9 3 2 2" xfId="1674"/>
    <cellStyle name="Note 9 3 2 3" xfId="2716"/>
    <cellStyle name="Note 9 3 2 4" xfId="3758"/>
    <cellStyle name="Note 9 3 2 5" xfId="4800"/>
    <cellStyle name="Note 9 3 3" xfId="1153"/>
    <cellStyle name="Note 9 3 4" xfId="2195"/>
    <cellStyle name="Note 9 3 5" xfId="3237"/>
    <cellStyle name="Note 9 3 6" xfId="4279"/>
    <cellStyle name="Note 9 4" xfId="287"/>
    <cellStyle name="Note 9 4 2" xfId="809"/>
    <cellStyle name="Note 9 4 2 2" xfId="1853"/>
    <cellStyle name="Note 9 4 2 3" xfId="2895"/>
    <cellStyle name="Note 9 4 2 4" xfId="3937"/>
    <cellStyle name="Note 9 4 2 5" xfId="4979"/>
    <cellStyle name="Note 9 4 3" xfId="1332"/>
    <cellStyle name="Note 9 4 4" xfId="2374"/>
    <cellStyle name="Note 9 4 5" xfId="3416"/>
    <cellStyle name="Note 9 4 6" xfId="4458"/>
    <cellStyle name="Note 9 5" xfId="130"/>
    <cellStyle name="Note 9 5 2" xfId="652"/>
    <cellStyle name="Note 9 5 2 2" xfId="1696"/>
    <cellStyle name="Note 9 5 2 3" xfId="2738"/>
    <cellStyle name="Note 9 5 2 4" xfId="3780"/>
    <cellStyle name="Note 9 5 2 5" xfId="4822"/>
    <cellStyle name="Note 9 5 3" xfId="1175"/>
    <cellStyle name="Note 9 5 4" xfId="2217"/>
    <cellStyle name="Note 9 5 5" xfId="3259"/>
    <cellStyle name="Note 9 5 6" xfId="4301"/>
    <cellStyle name="Note 9 6" xfId="417"/>
    <cellStyle name="Note 9 6 2" xfId="926"/>
    <cellStyle name="Note 9 6 2 2" xfId="1970"/>
    <cellStyle name="Note 9 6 2 3" xfId="3012"/>
    <cellStyle name="Note 9 6 2 4" xfId="4054"/>
    <cellStyle name="Note 9 6 2 5" xfId="5096"/>
    <cellStyle name="Note 9 6 3" xfId="1462"/>
    <cellStyle name="Note 9 6 4" xfId="2504"/>
    <cellStyle name="Note 9 6 5" xfId="3546"/>
    <cellStyle name="Note 9 6 6" xfId="4588"/>
    <cellStyle name="Note 9 7" xfId="327"/>
    <cellStyle name="Note 9 7 2" xfId="849"/>
    <cellStyle name="Note 9 7 2 2" xfId="1893"/>
    <cellStyle name="Note 9 7 2 3" xfId="2935"/>
    <cellStyle name="Note 9 7 2 4" xfId="3977"/>
    <cellStyle name="Note 9 7 2 5" xfId="5019"/>
    <cellStyle name="Note 9 7 3" xfId="1372"/>
    <cellStyle name="Note 9 7 4" xfId="2414"/>
    <cellStyle name="Note 9 7 5" xfId="3456"/>
    <cellStyle name="Note 9 7 6" xfId="4498"/>
    <cellStyle name="Note 9 8" xfId="518"/>
    <cellStyle name="Note 9 8 2" xfId="1008"/>
    <cellStyle name="Note 9 8 2 2" xfId="2052"/>
    <cellStyle name="Note 9 8 2 3" xfId="3094"/>
    <cellStyle name="Note 9 8 2 4" xfId="4136"/>
    <cellStyle name="Note 9 8 2 5" xfId="5178"/>
    <cellStyle name="Note 9 8 3" xfId="1562"/>
    <cellStyle name="Note 9 8 4" xfId="2604"/>
    <cellStyle name="Note 9 8 5" xfId="3646"/>
    <cellStyle name="Note 9 8 6" xfId="4688"/>
    <cellStyle name="Note 9 9" xfId="432"/>
    <cellStyle name="Note 9 9 2" xfId="937"/>
    <cellStyle name="Note 9 9 2 2" xfId="1981"/>
    <cellStyle name="Note 9 9 2 3" xfId="3023"/>
    <cellStyle name="Note 9 9 2 4" xfId="4065"/>
    <cellStyle name="Note 9 9 2 5" xfId="5107"/>
    <cellStyle name="Note 9 9 3" xfId="1477"/>
    <cellStyle name="Note 9 9 4" xfId="2519"/>
    <cellStyle name="Note 9 9 5" xfId="3561"/>
    <cellStyle name="Note 9 9 6" xfId="4603"/>
    <cellStyle name="Output 10" xfId="143"/>
    <cellStyle name="Output 10 10" xfId="665"/>
    <cellStyle name="Output 10 10 2" xfId="1709"/>
    <cellStyle name="Output 10 10 3" xfId="2751"/>
    <cellStyle name="Output 10 10 4" xfId="3793"/>
    <cellStyle name="Output 10 10 5" xfId="4835"/>
    <cellStyle name="Output 10 11" xfId="587"/>
    <cellStyle name="Output 10 11 2" xfId="1631"/>
    <cellStyle name="Output 10 11 3" xfId="2673"/>
    <cellStyle name="Output 10 11 4" xfId="3715"/>
    <cellStyle name="Output 10 11 5" xfId="4757"/>
    <cellStyle name="Output 10 12" xfId="1108"/>
    <cellStyle name="Output 10 12 2" xfId="2152"/>
    <cellStyle name="Output 10 12 3" xfId="3194"/>
    <cellStyle name="Output 10 12 4" xfId="4236"/>
    <cellStyle name="Output 10 12 5" xfId="5278"/>
    <cellStyle name="Output 10 13" xfId="1188"/>
    <cellStyle name="Output 10 14" xfId="2230"/>
    <cellStyle name="Output 10 15" xfId="3272"/>
    <cellStyle name="Output 10 16" xfId="4314"/>
    <cellStyle name="Output 10 2" xfId="209"/>
    <cellStyle name="Output 10 2 2" xfId="731"/>
    <cellStyle name="Output 10 2 2 2" xfId="1775"/>
    <cellStyle name="Output 10 2 2 3" xfId="2817"/>
    <cellStyle name="Output 10 2 2 4" xfId="3859"/>
    <cellStyle name="Output 10 2 2 5" xfId="4901"/>
    <cellStyle name="Output 10 2 3" xfId="1254"/>
    <cellStyle name="Output 10 2 4" xfId="2296"/>
    <cellStyle name="Output 10 2 5" xfId="3338"/>
    <cellStyle name="Output 10 2 6" xfId="4380"/>
    <cellStyle name="Output 10 3" xfId="241"/>
    <cellStyle name="Output 10 3 2" xfId="763"/>
    <cellStyle name="Output 10 3 2 2" xfId="1807"/>
    <cellStyle name="Output 10 3 2 3" xfId="2849"/>
    <cellStyle name="Output 10 3 2 4" xfId="3891"/>
    <cellStyle name="Output 10 3 2 5" xfId="4933"/>
    <cellStyle name="Output 10 3 3" xfId="1286"/>
    <cellStyle name="Output 10 3 4" xfId="2328"/>
    <cellStyle name="Output 10 3 5" xfId="3370"/>
    <cellStyle name="Output 10 3 6" xfId="4412"/>
    <cellStyle name="Output 10 4" xfId="296"/>
    <cellStyle name="Output 10 4 2" xfId="818"/>
    <cellStyle name="Output 10 4 2 2" xfId="1862"/>
    <cellStyle name="Output 10 4 2 3" xfId="2904"/>
    <cellStyle name="Output 10 4 2 4" xfId="3946"/>
    <cellStyle name="Output 10 4 2 5" xfId="4988"/>
    <cellStyle name="Output 10 4 3" xfId="1341"/>
    <cellStyle name="Output 10 4 4" xfId="2383"/>
    <cellStyle name="Output 10 4 5" xfId="3425"/>
    <cellStyle name="Output 10 4 6" xfId="4467"/>
    <cellStyle name="Output 10 5" xfId="320"/>
    <cellStyle name="Output 10 5 2" xfId="842"/>
    <cellStyle name="Output 10 5 2 2" xfId="1886"/>
    <cellStyle name="Output 10 5 2 3" xfId="2928"/>
    <cellStyle name="Output 10 5 2 4" xfId="3970"/>
    <cellStyle name="Output 10 5 2 5" xfId="5012"/>
    <cellStyle name="Output 10 5 3" xfId="1365"/>
    <cellStyle name="Output 10 5 4" xfId="2407"/>
    <cellStyle name="Output 10 5 5" xfId="3449"/>
    <cellStyle name="Output 10 5 6" xfId="4491"/>
    <cellStyle name="Output 10 6" xfId="428"/>
    <cellStyle name="Output 10 6 2" xfId="934"/>
    <cellStyle name="Output 10 6 2 2" xfId="1978"/>
    <cellStyle name="Output 10 6 2 3" xfId="3020"/>
    <cellStyle name="Output 10 6 2 4" xfId="4062"/>
    <cellStyle name="Output 10 6 2 5" xfId="5104"/>
    <cellStyle name="Output 10 6 3" xfId="1473"/>
    <cellStyle name="Output 10 6 4" xfId="2515"/>
    <cellStyle name="Output 10 6 5" xfId="3557"/>
    <cellStyle name="Output 10 6 6" xfId="4599"/>
    <cellStyle name="Output 10 7" xfId="478"/>
    <cellStyle name="Output 10 7 2" xfId="969"/>
    <cellStyle name="Output 10 7 2 2" xfId="2013"/>
    <cellStyle name="Output 10 7 2 3" xfId="3055"/>
    <cellStyle name="Output 10 7 2 4" xfId="4097"/>
    <cellStyle name="Output 10 7 2 5" xfId="5139"/>
    <cellStyle name="Output 10 7 3" xfId="1522"/>
    <cellStyle name="Output 10 7 4" xfId="2564"/>
    <cellStyle name="Output 10 7 5" xfId="3606"/>
    <cellStyle name="Output 10 7 6" xfId="4648"/>
    <cellStyle name="Output 10 8" xfId="528"/>
    <cellStyle name="Output 10 8 2" xfId="1018"/>
    <cellStyle name="Output 10 8 2 2" xfId="2062"/>
    <cellStyle name="Output 10 8 2 3" xfId="3104"/>
    <cellStyle name="Output 10 8 2 4" xfId="4146"/>
    <cellStyle name="Output 10 8 2 5" xfId="5188"/>
    <cellStyle name="Output 10 8 3" xfId="1572"/>
    <cellStyle name="Output 10 8 4" xfId="2614"/>
    <cellStyle name="Output 10 8 5" xfId="3656"/>
    <cellStyle name="Output 10 8 6" xfId="4698"/>
    <cellStyle name="Output 10 9" xfId="573"/>
    <cellStyle name="Output 10 9 2" xfId="1048"/>
    <cellStyle name="Output 10 9 2 2" xfId="2092"/>
    <cellStyle name="Output 10 9 2 3" xfId="3134"/>
    <cellStyle name="Output 10 9 2 4" xfId="4176"/>
    <cellStyle name="Output 10 9 2 5" xfId="5218"/>
    <cellStyle name="Output 10 9 3" xfId="1617"/>
    <cellStyle name="Output 10 9 4" xfId="2659"/>
    <cellStyle name="Output 10 9 5" xfId="3701"/>
    <cellStyle name="Output 10 9 6" xfId="4743"/>
    <cellStyle name="Output 11" xfId="159"/>
    <cellStyle name="Output 11 10" xfId="578"/>
    <cellStyle name="Output 11 10 2" xfId="1622"/>
    <cellStyle name="Output 11 10 3" xfId="2664"/>
    <cellStyle name="Output 11 10 4" xfId="3706"/>
    <cellStyle name="Output 11 10 5" xfId="4748"/>
    <cellStyle name="Output 11 11" xfId="1055"/>
    <cellStyle name="Output 11 11 2" xfId="2099"/>
    <cellStyle name="Output 11 11 3" xfId="3141"/>
    <cellStyle name="Output 11 11 4" xfId="4183"/>
    <cellStyle name="Output 11 11 5" xfId="5225"/>
    <cellStyle name="Output 11 12" xfId="1204"/>
    <cellStyle name="Output 11 13" xfId="2246"/>
    <cellStyle name="Output 11 14" xfId="3288"/>
    <cellStyle name="Output 11 15" xfId="4330"/>
    <cellStyle name="Output 11 2" xfId="149"/>
    <cellStyle name="Output 11 2 2" xfId="671"/>
    <cellStyle name="Output 11 2 2 2" xfId="1715"/>
    <cellStyle name="Output 11 2 2 3" xfId="2757"/>
    <cellStyle name="Output 11 2 2 4" xfId="3799"/>
    <cellStyle name="Output 11 2 2 5" xfId="4841"/>
    <cellStyle name="Output 11 2 3" xfId="1194"/>
    <cellStyle name="Output 11 2 4" xfId="2236"/>
    <cellStyle name="Output 11 2 5" xfId="3278"/>
    <cellStyle name="Output 11 2 6" xfId="4320"/>
    <cellStyle name="Output 11 3" xfId="248"/>
    <cellStyle name="Output 11 3 2" xfId="770"/>
    <cellStyle name="Output 11 3 2 2" xfId="1814"/>
    <cellStyle name="Output 11 3 2 3" xfId="2856"/>
    <cellStyle name="Output 11 3 2 4" xfId="3898"/>
    <cellStyle name="Output 11 3 2 5" xfId="4940"/>
    <cellStyle name="Output 11 3 3" xfId="1293"/>
    <cellStyle name="Output 11 3 4" xfId="2335"/>
    <cellStyle name="Output 11 3 5" xfId="3377"/>
    <cellStyle name="Output 11 3 6" xfId="4419"/>
    <cellStyle name="Output 11 4" xfId="117"/>
    <cellStyle name="Output 11 4 2" xfId="639"/>
    <cellStyle name="Output 11 4 2 2" xfId="1683"/>
    <cellStyle name="Output 11 4 2 3" xfId="2725"/>
    <cellStyle name="Output 11 4 2 4" xfId="3767"/>
    <cellStyle name="Output 11 4 2 5" xfId="4809"/>
    <cellStyle name="Output 11 4 3" xfId="1162"/>
    <cellStyle name="Output 11 4 4" xfId="2204"/>
    <cellStyle name="Output 11 4 5" xfId="3246"/>
    <cellStyle name="Output 11 4 6" xfId="4288"/>
    <cellStyle name="Output 11 5" xfId="375"/>
    <cellStyle name="Output 11 5 2" xfId="888"/>
    <cellStyle name="Output 11 5 2 2" xfId="1932"/>
    <cellStyle name="Output 11 5 2 3" xfId="2974"/>
    <cellStyle name="Output 11 5 2 4" xfId="4016"/>
    <cellStyle name="Output 11 5 2 5" xfId="5058"/>
    <cellStyle name="Output 11 5 3" xfId="1420"/>
    <cellStyle name="Output 11 5 4" xfId="2462"/>
    <cellStyle name="Output 11 5 5" xfId="3504"/>
    <cellStyle name="Output 11 5 6" xfId="4546"/>
    <cellStyle name="Output 11 6" xfId="453"/>
    <cellStyle name="Output 11 6 2" xfId="948"/>
    <cellStyle name="Output 11 6 2 2" xfId="1992"/>
    <cellStyle name="Output 11 6 2 3" xfId="3034"/>
    <cellStyle name="Output 11 6 2 4" xfId="4076"/>
    <cellStyle name="Output 11 6 2 5" xfId="5118"/>
    <cellStyle name="Output 11 6 3" xfId="1497"/>
    <cellStyle name="Output 11 6 4" xfId="2539"/>
    <cellStyle name="Output 11 6 5" xfId="3581"/>
    <cellStyle name="Output 11 6 6" xfId="4623"/>
    <cellStyle name="Output 11 7" xfId="457"/>
    <cellStyle name="Output 11 7 2" xfId="951"/>
    <cellStyle name="Output 11 7 2 2" xfId="1995"/>
    <cellStyle name="Output 11 7 2 3" xfId="3037"/>
    <cellStyle name="Output 11 7 2 4" xfId="4079"/>
    <cellStyle name="Output 11 7 2 5" xfId="5121"/>
    <cellStyle name="Output 11 7 3" xfId="1501"/>
    <cellStyle name="Output 11 7 4" xfId="2543"/>
    <cellStyle name="Output 11 7 5" xfId="3585"/>
    <cellStyle name="Output 11 7 6" xfId="4627"/>
    <cellStyle name="Output 11 8" xfId="533"/>
    <cellStyle name="Output 11 8 2" xfId="1021"/>
    <cellStyle name="Output 11 8 2 2" xfId="2065"/>
    <cellStyle name="Output 11 8 2 3" xfId="3107"/>
    <cellStyle name="Output 11 8 2 4" xfId="4149"/>
    <cellStyle name="Output 11 8 2 5" xfId="5191"/>
    <cellStyle name="Output 11 8 3" xfId="1577"/>
    <cellStyle name="Output 11 8 4" xfId="2619"/>
    <cellStyle name="Output 11 8 5" xfId="3661"/>
    <cellStyle name="Output 11 8 6" xfId="4703"/>
    <cellStyle name="Output 11 9" xfId="681"/>
    <cellStyle name="Output 11 9 2" xfId="1725"/>
    <cellStyle name="Output 11 9 3" xfId="2767"/>
    <cellStyle name="Output 11 9 4" xfId="3809"/>
    <cellStyle name="Output 11 9 5" xfId="4851"/>
    <cellStyle name="Output 12" xfId="141"/>
    <cellStyle name="Output 12 2" xfId="663"/>
    <cellStyle name="Output 12 2 2" xfId="1707"/>
    <cellStyle name="Output 12 2 3" xfId="2749"/>
    <cellStyle name="Output 12 2 4" xfId="3791"/>
    <cellStyle name="Output 12 2 5" xfId="4833"/>
    <cellStyle name="Output 12 3" xfId="1186"/>
    <cellStyle name="Output 12 4" xfId="2228"/>
    <cellStyle name="Output 12 5" xfId="3270"/>
    <cellStyle name="Output 12 6" xfId="4312"/>
    <cellStyle name="Output 13" xfId="58"/>
    <cellStyle name="Output 2" xfId="81"/>
    <cellStyle name="Output 2 10" xfId="602"/>
    <cellStyle name="Output 2 10 2" xfId="1646"/>
    <cellStyle name="Output 2 10 3" xfId="2688"/>
    <cellStyle name="Output 2 10 4" xfId="3730"/>
    <cellStyle name="Output 2 10 5" xfId="4772"/>
    <cellStyle name="Output 2 11" xfId="561"/>
    <cellStyle name="Output 2 11 2" xfId="1605"/>
    <cellStyle name="Output 2 11 3" xfId="2647"/>
    <cellStyle name="Output 2 11 4" xfId="3689"/>
    <cellStyle name="Output 2 11 5" xfId="4731"/>
    <cellStyle name="Output 2 12" xfId="1071"/>
    <cellStyle name="Output 2 12 2" xfId="2115"/>
    <cellStyle name="Output 2 12 3" xfId="3157"/>
    <cellStyle name="Output 2 12 4" xfId="4199"/>
    <cellStyle name="Output 2 12 5" xfId="5241"/>
    <cellStyle name="Output 2 13" xfId="1125"/>
    <cellStyle name="Output 2 14" xfId="2167"/>
    <cellStyle name="Output 2 15" xfId="3209"/>
    <cellStyle name="Output 2 16" xfId="4251"/>
    <cellStyle name="Output 2 2" xfId="176"/>
    <cellStyle name="Output 2 2 2" xfId="697"/>
    <cellStyle name="Output 2 2 2 2" xfId="1741"/>
    <cellStyle name="Output 2 2 2 3" xfId="2783"/>
    <cellStyle name="Output 2 2 2 4" xfId="3825"/>
    <cellStyle name="Output 2 2 2 5" xfId="4867"/>
    <cellStyle name="Output 2 2 3" xfId="1220"/>
    <cellStyle name="Output 2 2 4" xfId="2262"/>
    <cellStyle name="Output 2 2 5" xfId="3304"/>
    <cellStyle name="Output 2 2 6" xfId="4346"/>
    <cellStyle name="Output 2 3" xfId="119"/>
    <cellStyle name="Output 2 3 2" xfId="641"/>
    <cellStyle name="Output 2 3 2 2" xfId="1685"/>
    <cellStyle name="Output 2 3 2 3" xfId="2727"/>
    <cellStyle name="Output 2 3 2 4" xfId="3769"/>
    <cellStyle name="Output 2 3 2 5" xfId="4811"/>
    <cellStyle name="Output 2 3 3" xfId="1164"/>
    <cellStyle name="Output 2 3 4" xfId="2206"/>
    <cellStyle name="Output 2 3 5" xfId="3248"/>
    <cellStyle name="Output 2 3 6" xfId="4290"/>
    <cellStyle name="Output 2 4" xfId="264"/>
    <cellStyle name="Output 2 4 2" xfId="786"/>
    <cellStyle name="Output 2 4 2 2" xfId="1830"/>
    <cellStyle name="Output 2 4 2 3" xfId="2872"/>
    <cellStyle name="Output 2 4 2 4" xfId="3914"/>
    <cellStyle name="Output 2 4 2 5" xfId="4956"/>
    <cellStyle name="Output 2 4 3" xfId="1309"/>
    <cellStyle name="Output 2 4 4" xfId="2351"/>
    <cellStyle name="Output 2 4 5" xfId="3393"/>
    <cellStyle name="Output 2 4 6" xfId="4435"/>
    <cellStyle name="Output 2 5" xfId="121"/>
    <cellStyle name="Output 2 5 2" xfId="643"/>
    <cellStyle name="Output 2 5 2 2" xfId="1687"/>
    <cellStyle name="Output 2 5 2 3" xfId="2729"/>
    <cellStyle name="Output 2 5 2 4" xfId="3771"/>
    <cellStyle name="Output 2 5 2 5" xfId="4813"/>
    <cellStyle name="Output 2 5 3" xfId="1166"/>
    <cellStyle name="Output 2 5 4" xfId="2208"/>
    <cellStyle name="Output 2 5 5" xfId="3250"/>
    <cellStyle name="Output 2 5 6" xfId="4292"/>
    <cellStyle name="Output 2 6" xfId="391"/>
    <cellStyle name="Output 2 6 2" xfId="903"/>
    <cellStyle name="Output 2 6 2 2" xfId="1947"/>
    <cellStyle name="Output 2 6 2 3" xfId="2989"/>
    <cellStyle name="Output 2 6 2 4" xfId="4031"/>
    <cellStyle name="Output 2 6 2 5" xfId="5073"/>
    <cellStyle name="Output 2 6 3" xfId="1436"/>
    <cellStyle name="Output 2 6 4" xfId="2478"/>
    <cellStyle name="Output 2 6 5" xfId="3520"/>
    <cellStyle name="Output 2 6 6" xfId="4562"/>
    <cellStyle name="Output 2 7" xfId="473"/>
    <cellStyle name="Output 2 7 2" xfId="964"/>
    <cellStyle name="Output 2 7 2 2" xfId="2008"/>
    <cellStyle name="Output 2 7 2 3" xfId="3050"/>
    <cellStyle name="Output 2 7 2 4" xfId="4092"/>
    <cellStyle name="Output 2 7 2 5" xfId="5134"/>
    <cellStyle name="Output 2 7 3" xfId="1517"/>
    <cellStyle name="Output 2 7 4" xfId="2559"/>
    <cellStyle name="Output 2 7 5" xfId="3601"/>
    <cellStyle name="Output 2 7 6" xfId="4643"/>
    <cellStyle name="Output 2 8" xfId="493"/>
    <cellStyle name="Output 2 8 2" xfId="983"/>
    <cellStyle name="Output 2 8 2 2" xfId="2027"/>
    <cellStyle name="Output 2 8 2 3" xfId="3069"/>
    <cellStyle name="Output 2 8 2 4" xfId="4111"/>
    <cellStyle name="Output 2 8 2 5" xfId="5153"/>
    <cellStyle name="Output 2 8 3" xfId="1537"/>
    <cellStyle name="Output 2 8 4" xfId="2579"/>
    <cellStyle name="Output 2 8 5" xfId="3621"/>
    <cellStyle name="Output 2 8 6" xfId="4663"/>
    <cellStyle name="Output 2 9" xfId="434"/>
    <cellStyle name="Output 2 9 2" xfId="938"/>
    <cellStyle name="Output 2 9 2 2" xfId="1982"/>
    <cellStyle name="Output 2 9 2 3" xfId="3024"/>
    <cellStyle name="Output 2 9 2 4" xfId="4066"/>
    <cellStyle name="Output 2 9 2 5" xfId="5108"/>
    <cellStyle name="Output 2 9 3" xfId="1479"/>
    <cellStyle name="Output 2 9 4" xfId="2521"/>
    <cellStyle name="Output 2 9 5" xfId="3563"/>
    <cellStyle name="Output 2 9 6" xfId="4605"/>
    <cellStyle name="Output 3" xfId="68"/>
    <cellStyle name="Output 3 10" xfId="589"/>
    <cellStyle name="Output 3 10 2" xfId="1633"/>
    <cellStyle name="Output 3 10 3" xfId="2675"/>
    <cellStyle name="Output 3 10 4" xfId="3717"/>
    <cellStyle name="Output 3 10 5" xfId="4759"/>
    <cellStyle name="Output 3 11" xfId="576"/>
    <cellStyle name="Output 3 11 2" xfId="1620"/>
    <cellStyle name="Output 3 11 3" xfId="2662"/>
    <cellStyle name="Output 3 11 4" xfId="3704"/>
    <cellStyle name="Output 3 11 5" xfId="4746"/>
    <cellStyle name="Output 3 12" xfId="1058"/>
    <cellStyle name="Output 3 12 2" xfId="2102"/>
    <cellStyle name="Output 3 12 3" xfId="3144"/>
    <cellStyle name="Output 3 12 4" xfId="4186"/>
    <cellStyle name="Output 3 12 5" xfId="5228"/>
    <cellStyle name="Output 3 13" xfId="1112"/>
    <cellStyle name="Output 3 14" xfId="2154"/>
    <cellStyle name="Output 3 15" xfId="3196"/>
    <cellStyle name="Output 3 16" xfId="4238"/>
    <cellStyle name="Output 3 2" xfId="163"/>
    <cellStyle name="Output 3 2 2" xfId="684"/>
    <cellStyle name="Output 3 2 2 2" xfId="1728"/>
    <cellStyle name="Output 3 2 2 3" xfId="2770"/>
    <cellStyle name="Output 3 2 2 4" xfId="3812"/>
    <cellStyle name="Output 3 2 2 5" xfId="4854"/>
    <cellStyle name="Output 3 2 3" xfId="1207"/>
    <cellStyle name="Output 3 2 4" xfId="2249"/>
    <cellStyle name="Output 3 2 5" xfId="3291"/>
    <cellStyle name="Output 3 2 6" xfId="4333"/>
    <cellStyle name="Output 3 3" xfId="139"/>
    <cellStyle name="Output 3 3 2" xfId="661"/>
    <cellStyle name="Output 3 3 2 2" xfId="1705"/>
    <cellStyle name="Output 3 3 2 3" xfId="2747"/>
    <cellStyle name="Output 3 3 2 4" xfId="3789"/>
    <cellStyle name="Output 3 3 2 5" xfId="4831"/>
    <cellStyle name="Output 3 3 3" xfId="1184"/>
    <cellStyle name="Output 3 3 4" xfId="2226"/>
    <cellStyle name="Output 3 3 5" xfId="3268"/>
    <cellStyle name="Output 3 3 6" xfId="4310"/>
    <cellStyle name="Output 3 4" xfId="145"/>
    <cellStyle name="Output 3 4 2" xfId="667"/>
    <cellStyle name="Output 3 4 2 2" xfId="1711"/>
    <cellStyle name="Output 3 4 2 3" xfId="2753"/>
    <cellStyle name="Output 3 4 2 4" xfId="3795"/>
    <cellStyle name="Output 3 4 2 5" xfId="4837"/>
    <cellStyle name="Output 3 4 3" xfId="1190"/>
    <cellStyle name="Output 3 4 4" xfId="2232"/>
    <cellStyle name="Output 3 4 5" xfId="3274"/>
    <cellStyle name="Output 3 4 6" xfId="4316"/>
    <cellStyle name="Output 3 5" xfId="107"/>
    <cellStyle name="Output 3 5 2" xfId="628"/>
    <cellStyle name="Output 3 5 2 2" xfId="1672"/>
    <cellStyle name="Output 3 5 2 3" xfId="2714"/>
    <cellStyle name="Output 3 5 2 4" xfId="3756"/>
    <cellStyle name="Output 3 5 2 5" xfId="4798"/>
    <cellStyle name="Output 3 5 3" xfId="1151"/>
    <cellStyle name="Output 3 5 4" xfId="2193"/>
    <cellStyle name="Output 3 5 5" xfId="3235"/>
    <cellStyle name="Output 3 5 6" xfId="4277"/>
    <cellStyle name="Output 3 6" xfId="378"/>
    <cellStyle name="Output 3 6 2" xfId="890"/>
    <cellStyle name="Output 3 6 2 2" xfId="1934"/>
    <cellStyle name="Output 3 6 2 3" xfId="2976"/>
    <cellStyle name="Output 3 6 2 4" xfId="4018"/>
    <cellStyle name="Output 3 6 2 5" xfId="5060"/>
    <cellStyle name="Output 3 6 3" xfId="1423"/>
    <cellStyle name="Output 3 6 4" xfId="2465"/>
    <cellStyle name="Output 3 6 5" xfId="3507"/>
    <cellStyle name="Output 3 6 6" xfId="4549"/>
    <cellStyle name="Output 3 7" xfId="439"/>
    <cellStyle name="Output 3 7 2" xfId="940"/>
    <cellStyle name="Output 3 7 2 2" xfId="1984"/>
    <cellStyle name="Output 3 7 2 3" xfId="3026"/>
    <cellStyle name="Output 3 7 2 4" xfId="4068"/>
    <cellStyle name="Output 3 7 2 5" xfId="5110"/>
    <cellStyle name="Output 3 7 3" xfId="1483"/>
    <cellStyle name="Output 3 7 4" xfId="2525"/>
    <cellStyle name="Output 3 7 5" xfId="3567"/>
    <cellStyle name="Output 3 7 6" xfId="4609"/>
    <cellStyle name="Output 3 8" xfId="480"/>
    <cellStyle name="Output 3 8 2" xfId="970"/>
    <cellStyle name="Output 3 8 2 2" xfId="2014"/>
    <cellStyle name="Output 3 8 2 3" xfId="3056"/>
    <cellStyle name="Output 3 8 2 4" xfId="4098"/>
    <cellStyle name="Output 3 8 2 5" xfId="5140"/>
    <cellStyle name="Output 3 8 3" xfId="1524"/>
    <cellStyle name="Output 3 8 4" xfId="2566"/>
    <cellStyle name="Output 3 8 5" xfId="3608"/>
    <cellStyle name="Output 3 8 6" xfId="4650"/>
    <cellStyle name="Output 3 9" xfId="460"/>
    <cellStyle name="Output 3 9 2" xfId="954"/>
    <cellStyle name="Output 3 9 2 2" xfId="1998"/>
    <cellStyle name="Output 3 9 2 3" xfId="3040"/>
    <cellStyle name="Output 3 9 2 4" xfId="4082"/>
    <cellStyle name="Output 3 9 2 5" xfId="5124"/>
    <cellStyle name="Output 3 9 3" xfId="1504"/>
    <cellStyle name="Output 3 9 4" xfId="2546"/>
    <cellStyle name="Output 3 9 5" xfId="3588"/>
    <cellStyle name="Output 3 9 6" xfId="4630"/>
    <cellStyle name="Output 4" xfId="93"/>
    <cellStyle name="Output 4 10" xfId="614"/>
    <cellStyle name="Output 4 10 2" xfId="1658"/>
    <cellStyle name="Output 4 10 3" xfId="2700"/>
    <cellStyle name="Output 4 10 4" xfId="3742"/>
    <cellStyle name="Output 4 10 5" xfId="4784"/>
    <cellStyle name="Output 4 11" xfId="543"/>
    <cellStyle name="Output 4 11 2" xfId="1587"/>
    <cellStyle name="Output 4 11 3" xfId="2629"/>
    <cellStyle name="Output 4 11 4" xfId="3671"/>
    <cellStyle name="Output 4 11 5" xfId="4713"/>
    <cellStyle name="Output 4 12" xfId="1083"/>
    <cellStyle name="Output 4 12 2" xfId="2127"/>
    <cellStyle name="Output 4 12 3" xfId="3169"/>
    <cellStyle name="Output 4 12 4" xfId="4211"/>
    <cellStyle name="Output 4 12 5" xfId="5253"/>
    <cellStyle name="Output 4 13" xfId="1137"/>
    <cellStyle name="Output 4 14" xfId="2179"/>
    <cellStyle name="Output 4 15" xfId="3221"/>
    <cellStyle name="Output 4 16" xfId="4263"/>
    <cellStyle name="Output 4 2" xfId="187"/>
    <cellStyle name="Output 4 2 2" xfId="709"/>
    <cellStyle name="Output 4 2 2 2" xfId="1753"/>
    <cellStyle name="Output 4 2 2 3" xfId="2795"/>
    <cellStyle name="Output 4 2 2 4" xfId="3837"/>
    <cellStyle name="Output 4 2 2 5" xfId="4879"/>
    <cellStyle name="Output 4 2 3" xfId="1232"/>
    <cellStyle name="Output 4 2 4" xfId="2274"/>
    <cellStyle name="Output 4 2 5" xfId="3316"/>
    <cellStyle name="Output 4 2 6" xfId="4358"/>
    <cellStyle name="Output 4 3" xfId="251"/>
    <cellStyle name="Output 4 3 2" xfId="773"/>
    <cellStyle name="Output 4 3 2 2" xfId="1817"/>
    <cellStyle name="Output 4 3 2 3" xfId="2859"/>
    <cellStyle name="Output 4 3 2 4" xfId="3901"/>
    <cellStyle name="Output 4 3 2 5" xfId="4943"/>
    <cellStyle name="Output 4 3 3" xfId="1296"/>
    <cellStyle name="Output 4 3 4" xfId="2338"/>
    <cellStyle name="Output 4 3 5" xfId="3380"/>
    <cellStyle name="Output 4 3 6" xfId="4422"/>
    <cellStyle name="Output 4 4" xfId="273"/>
    <cellStyle name="Output 4 4 2" xfId="795"/>
    <cellStyle name="Output 4 4 2 2" xfId="1839"/>
    <cellStyle name="Output 4 4 2 3" xfId="2881"/>
    <cellStyle name="Output 4 4 2 4" xfId="3923"/>
    <cellStyle name="Output 4 4 2 5" xfId="4965"/>
    <cellStyle name="Output 4 4 3" xfId="1318"/>
    <cellStyle name="Output 4 4 4" xfId="2360"/>
    <cellStyle name="Output 4 4 5" xfId="3402"/>
    <cellStyle name="Output 4 4 6" xfId="4444"/>
    <cellStyle name="Output 4 5" xfId="326"/>
    <cellStyle name="Output 4 5 2" xfId="848"/>
    <cellStyle name="Output 4 5 2 2" xfId="1892"/>
    <cellStyle name="Output 4 5 2 3" xfId="2934"/>
    <cellStyle name="Output 4 5 2 4" xfId="3976"/>
    <cellStyle name="Output 4 5 2 5" xfId="5018"/>
    <cellStyle name="Output 4 5 3" xfId="1371"/>
    <cellStyle name="Output 4 5 4" xfId="2413"/>
    <cellStyle name="Output 4 5 5" xfId="3455"/>
    <cellStyle name="Output 4 5 6" xfId="4497"/>
    <cellStyle name="Output 4 6" xfId="403"/>
    <cellStyle name="Output 4 6 2" xfId="912"/>
    <cellStyle name="Output 4 6 2 2" xfId="1956"/>
    <cellStyle name="Output 4 6 2 3" xfId="2998"/>
    <cellStyle name="Output 4 6 2 4" xfId="4040"/>
    <cellStyle name="Output 4 6 2 5" xfId="5082"/>
    <cellStyle name="Output 4 6 3" xfId="1448"/>
    <cellStyle name="Output 4 6 4" xfId="2490"/>
    <cellStyle name="Output 4 6 5" xfId="3532"/>
    <cellStyle name="Output 4 6 6" xfId="4574"/>
    <cellStyle name="Output 4 7" xfId="347"/>
    <cellStyle name="Output 4 7 2" xfId="865"/>
    <cellStyle name="Output 4 7 2 2" xfId="1909"/>
    <cellStyle name="Output 4 7 2 3" xfId="2951"/>
    <cellStyle name="Output 4 7 2 4" xfId="3993"/>
    <cellStyle name="Output 4 7 2 5" xfId="5035"/>
    <cellStyle name="Output 4 7 3" xfId="1392"/>
    <cellStyle name="Output 4 7 4" xfId="2434"/>
    <cellStyle name="Output 4 7 5" xfId="3476"/>
    <cellStyle name="Output 4 7 6" xfId="4518"/>
    <cellStyle name="Output 4 8" xfId="504"/>
    <cellStyle name="Output 4 8 2" xfId="994"/>
    <cellStyle name="Output 4 8 2 2" xfId="2038"/>
    <cellStyle name="Output 4 8 2 3" xfId="3080"/>
    <cellStyle name="Output 4 8 2 4" xfId="4122"/>
    <cellStyle name="Output 4 8 2 5" xfId="5164"/>
    <cellStyle name="Output 4 8 3" xfId="1548"/>
    <cellStyle name="Output 4 8 4" xfId="2590"/>
    <cellStyle name="Output 4 8 5" xfId="3632"/>
    <cellStyle name="Output 4 8 6" xfId="4674"/>
    <cellStyle name="Output 4 9" xfId="334"/>
    <cellStyle name="Output 4 9 2" xfId="852"/>
    <cellStyle name="Output 4 9 2 2" xfId="1896"/>
    <cellStyle name="Output 4 9 2 3" xfId="2938"/>
    <cellStyle name="Output 4 9 2 4" xfId="3980"/>
    <cellStyle name="Output 4 9 2 5" xfId="5022"/>
    <cellStyle name="Output 4 9 3" xfId="1379"/>
    <cellStyle name="Output 4 9 4" xfId="2421"/>
    <cellStyle name="Output 4 9 5" xfId="3463"/>
    <cellStyle name="Output 4 9 6" xfId="4505"/>
    <cellStyle name="Output 5" xfId="74"/>
    <cellStyle name="Output 5 10" xfId="595"/>
    <cellStyle name="Output 5 10 2" xfId="1639"/>
    <cellStyle name="Output 5 10 3" xfId="2681"/>
    <cellStyle name="Output 5 10 4" xfId="3723"/>
    <cellStyle name="Output 5 10 5" xfId="4765"/>
    <cellStyle name="Output 5 11" xfId="560"/>
    <cellStyle name="Output 5 11 2" xfId="1604"/>
    <cellStyle name="Output 5 11 3" xfId="2646"/>
    <cellStyle name="Output 5 11 4" xfId="3688"/>
    <cellStyle name="Output 5 11 5" xfId="4730"/>
    <cellStyle name="Output 5 12" xfId="1064"/>
    <cellStyle name="Output 5 12 2" xfId="2108"/>
    <cellStyle name="Output 5 12 3" xfId="3150"/>
    <cellStyle name="Output 5 12 4" xfId="4192"/>
    <cellStyle name="Output 5 12 5" xfId="5234"/>
    <cellStyle name="Output 5 13" xfId="1118"/>
    <cellStyle name="Output 5 14" xfId="2160"/>
    <cellStyle name="Output 5 15" xfId="3202"/>
    <cellStyle name="Output 5 16" xfId="4244"/>
    <cellStyle name="Output 5 2" xfId="169"/>
    <cellStyle name="Output 5 2 2" xfId="690"/>
    <cellStyle name="Output 5 2 2 2" xfId="1734"/>
    <cellStyle name="Output 5 2 2 3" xfId="2776"/>
    <cellStyle name="Output 5 2 2 4" xfId="3818"/>
    <cellStyle name="Output 5 2 2 5" xfId="4860"/>
    <cellStyle name="Output 5 2 3" xfId="1213"/>
    <cellStyle name="Output 5 2 4" xfId="2255"/>
    <cellStyle name="Output 5 2 5" xfId="3297"/>
    <cellStyle name="Output 5 2 6" xfId="4339"/>
    <cellStyle name="Output 5 3" xfId="223"/>
    <cellStyle name="Output 5 3 2" xfId="745"/>
    <cellStyle name="Output 5 3 2 2" xfId="1789"/>
    <cellStyle name="Output 5 3 2 3" xfId="2831"/>
    <cellStyle name="Output 5 3 2 4" xfId="3873"/>
    <cellStyle name="Output 5 3 2 5" xfId="4915"/>
    <cellStyle name="Output 5 3 3" xfId="1268"/>
    <cellStyle name="Output 5 3 4" xfId="2310"/>
    <cellStyle name="Output 5 3 5" xfId="3352"/>
    <cellStyle name="Output 5 3 6" xfId="4394"/>
    <cellStyle name="Output 5 4" xfId="257"/>
    <cellStyle name="Output 5 4 2" xfId="779"/>
    <cellStyle name="Output 5 4 2 2" xfId="1823"/>
    <cellStyle name="Output 5 4 2 3" xfId="2865"/>
    <cellStyle name="Output 5 4 2 4" xfId="3907"/>
    <cellStyle name="Output 5 4 2 5" xfId="4949"/>
    <cellStyle name="Output 5 4 3" xfId="1302"/>
    <cellStyle name="Output 5 4 4" xfId="2344"/>
    <cellStyle name="Output 5 4 5" xfId="3386"/>
    <cellStyle name="Output 5 4 6" xfId="4428"/>
    <cellStyle name="Output 5 5" xfId="302"/>
    <cellStyle name="Output 5 5 2" xfId="824"/>
    <cellStyle name="Output 5 5 2 2" xfId="1868"/>
    <cellStyle name="Output 5 5 2 3" xfId="2910"/>
    <cellStyle name="Output 5 5 2 4" xfId="3952"/>
    <cellStyle name="Output 5 5 2 5" xfId="4994"/>
    <cellStyle name="Output 5 5 3" xfId="1347"/>
    <cellStyle name="Output 5 5 4" xfId="2389"/>
    <cellStyle name="Output 5 5 5" xfId="3431"/>
    <cellStyle name="Output 5 5 6" xfId="4473"/>
    <cellStyle name="Output 5 6" xfId="384"/>
    <cellStyle name="Output 5 6 2" xfId="896"/>
    <cellStyle name="Output 5 6 2 2" xfId="1940"/>
    <cellStyle name="Output 5 6 2 3" xfId="2982"/>
    <cellStyle name="Output 5 6 2 4" xfId="4024"/>
    <cellStyle name="Output 5 6 2 5" xfId="5066"/>
    <cellStyle name="Output 5 6 3" xfId="1429"/>
    <cellStyle name="Output 5 6 4" xfId="2471"/>
    <cellStyle name="Output 5 6 5" xfId="3513"/>
    <cellStyle name="Output 5 6 6" xfId="4555"/>
    <cellStyle name="Output 5 7" xfId="339"/>
    <cellStyle name="Output 5 7 2" xfId="857"/>
    <cellStyle name="Output 5 7 2 2" xfId="1901"/>
    <cellStyle name="Output 5 7 2 3" xfId="2943"/>
    <cellStyle name="Output 5 7 2 4" xfId="3985"/>
    <cellStyle name="Output 5 7 2 5" xfId="5027"/>
    <cellStyle name="Output 5 7 3" xfId="1384"/>
    <cellStyle name="Output 5 7 4" xfId="2426"/>
    <cellStyle name="Output 5 7 5" xfId="3468"/>
    <cellStyle name="Output 5 7 6" xfId="4510"/>
    <cellStyle name="Output 5 8" xfId="486"/>
    <cellStyle name="Output 5 8 2" xfId="976"/>
    <cellStyle name="Output 5 8 2 2" xfId="2020"/>
    <cellStyle name="Output 5 8 2 3" xfId="3062"/>
    <cellStyle name="Output 5 8 2 4" xfId="4104"/>
    <cellStyle name="Output 5 8 2 5" xfId="5146"/>
    <cellStyle name="Output 5 8 3" xfId="1530"/>
    <cellStyle name="Output 5 8 4" xfId="2572"/>
    <cellStyle name="Output 5 8 5" xfId="3614"/>
    <cellStyle name="Output 5 8 6" xfId="4656"/>
    <cellStyle name="Output 5 9" xfId="535"/>
    <cellStyle name="Output 5 9 2" xfId="1023"/>
    <cellStyle name="Output 5 9 2 2" xfId="2067"/>
    <cellStyle name="Output 5 9 2 3" xfId="3109"/>
    <cellStyle name="Output 5 9 2 4" xfId="4151"/>
    <cellStyle name="Output 5 9 2 5" xfId="5193"/>
    <cellStyle name="Output 5 9 3" xfId="1579"/>
    <cellStyle name="Output 5 9 4" xfId="2621"/>
    <cellStyle name="Output 5 9 5" xfId="3663"/>
    <cellStyle name="Output 5 9 6" xfId="4705"/>
    <cellStyle name="Output 6" xfId="95"/>
    <cellStyle name="Output 6 10" xfId="616"/>
    <cellStyle name="Output 6 10 2" xfId="1660"/>
    <cellStyle name="Output 6 10 3" xfId="2702"/>
    <cellStyle name="Output 6 10 4" xfId="3744"/>
    <cellStyle name="Output 6 10 5" xfId="4786"/>
    <cellStyle name="Output 6 11" xfId="455"/>
    <cellStyle name="Output 6 11 2" xfId="1499"/>
    <cellStyle name="Output 6 11 3" xfId="2541"/>
    <cellStyle name="Output 6 11 4" xfId="3583"/>
    <cellStyle name="Output 6 11 5" xfId="4625"/>
    <cellStyle name="Output 6 12" xfId="1085"/>
    <cellStyle name="Output 6 12 2" xfId="2129"/>
    <cellStyle name="Output 6 12 3" xfId="3171"/>
    <cellStyle name="Output 6 12 4" xfId="4213"/>
    <cellStyle name="Output 6 12 5" xfId="5255"/>
    <cellStyle name="Output 6 13" xfId="1139"/>
    <cellStyle name="Output 6 14" xfId="2181"/>
    <cellStyle name="Output 6 15" xfId="3223"/>
    <cellStyle name="Output 6 16" xfId="4265"/>
    <cellStyle name="Output 6 2" xfId="189"/>
    <cellStyle name="Output 6 2 2" xfId="711"/>
    <cellStyle name="Output 6 2 2 2" xfId="1755"/>
    <cellStyle name="Output 6 2 2 3" xfId="2797"/>
    <cellStyle name="Output 6 2 2 4" xfId="3839"/>
    <cellStyle name="Output 6 2 2 5" xfId="4881"/>
    <cellStyle name="Output 6 2 3" xfId="1234"/>
    <cellStyle name="Output 6 2 4" xfId="2276"/>
    <cellStyle name="Output 6 2 5" xfId="3318"/>
    <cellStyle name="Output 6 2 6" xfId="4360"/>
    <cellStyle name="Output 6 3" xfId="225"/>
    <cellStyle name="Output 6 3 2" xfId="747"/>
    <cellStyle name="Output 6 3 2 2" xfId="1791"/>
    <cellStyle name="Output 6 3 2 3" xfId="2833"/>
    <cellStyle name="Output 6 3 2 4" xfId="3875"/>
    <cellStyle name="Output 6 3 2 5" xfId="4917"/>
    <cellStyle name="Output 6 3 3" xfId="1270"/>
    <cellStyle name="Output 6 3 4" xfId="2312"/>
    <cellStyle name="Output 6 3 5" xfId="3354"/>
    <cellStyle name="Output 6 3 6" xfId="4396"/>
    <cellStyle name="Output 6 4" xfId="275"/>
    <cellStyle name="Output 6 4 2" xfId="797"/>
    <cellStyle name="Output 6 4 2 2" xfId="1841"/>
    <cellStyle name="Output 6 4 2 3" xfId="2883"/>
    <cellStyle name="Output 6 4 2 4" xfId="3925"/>
    <cellStyle name="Output 6 4 2 5" xfId="4967"/>
    <cellStyle name="Output 6 4 3" xfId="1320"/>
    <cellStyle name="Output 6 4 4" xfId="2362"/>
    <cellStyle name="Output 6 4 5" xfId="3404"/>
    <cellStyle name="Output 6 4 6" xfId="4446"/>
    <cellStyle name="Output 6 5" xfId="304"/>
    <cellStyle name="Output 6 5 2" xfId="826"/>
    <cellStyle name="Output 6 5 2 2" xfId="1870"/>
    <cellStyle name="Output 6 5 2 3" xfId="2912"/>
    <cellStyle name="Output 6 5 2 4" xfId="3954"/>
    <cellStyle name="Output 6 5 2 5" xfId="4996"/>
    <cellStyle name="Output 6 5 3" xfId="1349"/>
    <cellStyle name="Output 6 5 4" xfId="2391"/>
    <cellStyle name="Output 6 5 5" xfId="3433"/>
    <cellStyle name="Output 6 5 6" xfId="4475"/>
    <cellStyle name="Output 6 6" xfId="405"/>
    <cellStyle name="Output 6 6 2" xfId="914"/>
    <cellStyle name="Output 6 6 2 2" xfId="1958"/>
    <cellStyle name="Output 6 6 2 3" xfId="3000"/>
    <cellStyle name="Output 6 6 2 4" xfId="4042"/>
    <cellStyle name="Output 6 6 2 5" xfId="5084"/>
    <cellStyle name="Output 6 6 3" xfId="1450"/>
    <cellStyle name="Output 6 6 4" xfId="2492"/>
    <cellStyle name="Output 6 6 5" xfId="3534"/>
    <cellStyle name="Output 6 6 6" xfId="4576"/>
    <cellStyle name="Output 6 7" xfId="349"/>
    <cellStyle name="Output 6 7 2" xfId="867"/>
    <cellStyle name="Output 6 7 2 2" xfId="1911"/>
    <cellStyle name="Output 6 7 2 3" xfId="2953"/>
    <cellStyle name="Output 6 7 2 4" xfId="3995"/>
    <cellStyle name="Output 6 7 2 5" xfId="5037"/>
    <cellStyle name="Output 6 7 3" xfId="1394"/>
    <cellStyle name="Output 6 7 4" xfId="2436"/>
    <cellStyle name="Output 6 7 5" xfId="3478"/>
    <cellStyle name="Output 6 7 6" xfId="4520"/>
    <cellStyle name="Output 6 8" xfId="506"/>
    <cellStyle name="Output 6 8 2" xfId="996"/>
    <cellStyle name="Output 6 8 2 2" xfId="2040"/>
    <cellStyle name="Output 6 8 2 3" xfId="3082"/>
    <cellStyle name="Output 6 8 2 4" xfId="4124"/>
    <cellStyle name="Output 6 8 2 5" xfId="5166"/>
    <cellStyle name="Output 6 8 3" xfId="1550"/>
    <cellStyle name="Output 6 8 4" xfId="2592"/>
    <cellStyle name="Output 6 8 5" xfId="3634"/>
    <cellStyle name="Output 6 8 6" xfId="4676"/>
    <cellStyle name="Output 6 9" xfId="530"/>
    <cellStyle name="Output 6 9 2" xfId="1019"/>
    <cellStyle name="Output 6 9 2 2" xfId="2063"/>
    <cellStyle name="Output 6 9 2 3" xfId="3105"/>
    <cellStyle name="Output 6 9 2 4" xfId="4147"/>
    <cellStyle name="Output 6 9 2 5" xfId="5189"/>
    <cellStyle name="Output 6 9 3" xfId="1574"/>
    <cellStyle name="Output 6 9 4" xfId="2616"/>
    <cellStyle name="Output 6 9 5" xfId="3658"/>
    <cellStyle name="Output 6 9 6" xfId="4700"/>
    <cellStyle name="Output 7" xfId="98"/>
    <cellStyle name="Output 7 10" xfId="619"/>
    <cellStyle name="Output 7 10 2" xfId="1663"/>
    <cellStyle name="Output 7 10 3" xfId="2705"/>
    <cellStyle name="Output 7 10 4" xfId="3747"/>
    <cellStyle name="Output 7 10 5" xfId="4789"/>
    <cellStyle name="Output 7 11" xfId="571"/>
    <cellStyle name="Output 7 11 2" xfId="1615"/>
    <cellStyle name="Output 7 11 3" xfId="2657"/>
    <cellStyle name="Output 7 11 4" xfId="3699"/>
    <cellStyle name="Output 7 11 5" xfId="4741"/>
    <cellStyle name="Output 7 12" xfId="1088"/>
    <cellStyle name="Output 7 12 2" xfId="2132"/>
    <cellStyle name="Output 7 12 3" xfId="3174"/>
    <cellStyle name="Output 7 12 4" xfId="4216"/>
    <cellStyle name="Output 7 12 5" xfId="5258"/>
    <cellStyle name="Output 7 13" xfId="1142"/>
    <cellStyle name="Output 7 14" xfId="2184"/>
    <cellStyle name="Output 7 15" xfId="3226"/>
    <cellStyle name="Output 7 16" xfId="4268"/>
    <cellStyle name="Output 7 2" xfId="192"/>
    <cellStyle name="Output 7 2 2" xfId="714"/>
    <cellStyle name="Output 7 2 2 2" xfId="1758"/>
    <cellStyle name="Output 7 2 2 3" xfId="2800"/>
    <cellStyle name="Output 7 2 2 4" xfId="3842"/>
    <cellStyle name="Output 7 2 2 5" xfId="4884"/>
    <cellStyle name="Output 7 2 3" xfId="1237"/>
    <cellStyle name="Output 7 2 4" xfId="2279"/>
    <cellStyle name="Output 7 2 5" xfId="3321"/>
    <cellStyle name="Output 7 2 6" xfId="4363"/>
    <cellStyle name="Output 7 3" xfId="219"/>
    <cellStyle name="Output 7 3 2" xfId="741"/>
    <cellStyle name="Output 7 3 2 2" xfId="1785"/>
    <cellStyle name="Output 7 3 2 3" xfId="2827"/>
    <cellStyle name="Output 7 3 2 4" xfId="3869"/>
    <cellStyle name="Output 7 3 2 5" xfId="4911"/>
    <cellStyle name="Output 7 3 3" xfId="1264"/>
    <cellStyle name="Output 7 3 4" xfId="2306"/>
    <cellStyle name="Output 7 3 5" xfId="3348"/>
    <cellStyle name="Output 7 3 6" xfId="4390"/>
    <cellStyle name="Output 7 4" xfId="278"/>
    <cellStyle name="Output 7 4 2" xfId="800"/>
    <cellStyle name="Output 7 4 2 2" xfId="1844"/>
    <cellStyle name="Output 7 4 2 3" xfId="2886"/>
    <cellStyle name="Output 7 4 2 4" xfId="3928"/>
    <cellStyle name="Output 7 4 2 5" xfId="4970"/>
    <cellStyle name="Output 7 4 3" xfId="1323"/>
    <cellStyle name="Output 7 4 4" xfId="2365"/>
    <cellStyle name="Output 7 4 5" xfId="3407"/>
    <cellStyle name="Output 7 4 6" xfId="4449"/>
    <cellStyle name="Output 7 5" xfId="299"/>
    <cellStyle name="Output 7 5 2" xfId="821"/>
    <cellStyle name="Output 7 5 2 2" xfId="1865"/>
    <cellStyle name="Output 7 5 2 3" xfId="2907"/>
    <cellStyle name="Output 7 5 2 4" xfId="3949"/>
    <cellStyle name="Output 7 5 2 5" xfId="4991"/>
    <cellStyle name="Output 7 5 3" xfId="1344"/>
    <cellStyle name="Output 7 5 4" xfId="2386"/>
    <cellStyle name="Output 7 5 5" xfId="3428"/>
    <cellStyle name="Output 7 5 6" xfId="4470"/>
    <cellStyle name="Output 7 6" xfId="408"/>
    <cellStyle name="Output 7 6 2" xfId="917"/>
    <cellStyle name="Output 7 6 2 2" xfId="1961"/>
    <cellStyle name="Output 7 6 2 3" xfId="3003"/>
    <cellStyle name="Output 7 6 2 4" xfId="4045"/>
    <cellStyle name="Output 7 6 2 5" xfId="5087"/>
    <cellStyle name="Output 7 6 3" xfId="1453"/>
    <cellStyle name="Output 7 6 4" xfId="2495"/>
    <cellStyle name="Output 7 6 5" xfId="3537"/>
    <cellStyle name="Output 7 6 6" xfId="4579"/>
    <cellStyle name="Output 7 7" xfId="351"/>
    <cellStyle name="Output 7 7 2" xfId="869"/>
    <cellStyle name="Output 7 7 2 2" xfId="1913"/>
    <cellStyle name="Output 7 7 2 3" xfId="2955"/>
    <cellStyle name="Output 7 7 2 4" xfId="3997"/>
    <cellStyle name="Output 7 7 2 5" xfId="5039"/>
    <cellStyle name="Output 7 7 3" xfId="1396"/>
    <cellStyle name="Output 7 7 4" xfId="2438"/>
    <cellStyle name="Output 7 7 5" xfId="3480"/>
    <cellStyle name="Output 7 7 6" xfId="4522"/>
    <cellStyle name="Output 7 8" xfId="509"/>
    <cellStyle name="Output 7 8 2" xfId="999"/>
    <cellStyle name="Output 7 8 2 2" xfId="2043"/>
    <cellStyle name="Output 7 8 2 3" xfId="3085"/>
    <cellStyle name="Output 7 8 2 4" xfId="4127"/>
    <cellStyle name="Output 7 8 2 5" xfId="5169"/>
    <cellStyle name="Output 7 8 3" xfId="1553"/>
    <cellStyle name="Output 7 8 4" xfId="2595"/>
    <cellStyle name="Output 7 8 5" xfId="3637"/>
    <cellStyle name="Output 7 8 6" xfId="4679"/>
    <cellStyle name="Output 7 9" xfId="552"/>
    <cellStyle name="Output 7 9 2" xfId="1034"/>
    <cellStyle name="Output 7 9 2 2" xfId="2078"/>
    <cellStyle name="Output 7 9 2 3" xfId="3120"/>
    <cellStyle name="Output 7 9 2 4" xfId="4162"/>
    <cellStyle name="Output 7 9 2 5" xfId="5204"/>
    <cellStyle name="Output 7 9 3" xfId="1596"/>
    <cellStyle name="Output 7 9 4" xfId="2638"/>
    <cellStyle name="Output 7 9 5" xfId="3680"/>
    <cellStyle name="Output 7 9 6" xfId="4722"/>
    <cellStyle name="Output 8" xfId="102"/>
    <cellStyle name="Output 8 10" xfId="623"/>
    <cellStyle name="Output 8 10 2" xfId="1667"/>
    <cellStyle name="Output 8 10 3" xfId="2709"/>
    <cellStyle name="Output 8 10 4" xfId="3751"/>
    <cellStyle name="Output 8 10 5" xfId="4793"/>
    <cellStyle name="Output 8 11" xfId="537"/>
    <cellStyle name="Output 8 11 2" xfId="1581"/>
    <cellStyle name="Output 8 11 3" xfId="2623"/>
    <cellStyle name="Output 8 11 4" xfId="3665"/>
    <cellStyle name="Output 8 11 5" xfId="4707"/>
    <cellStyle name="Output 8 12" xfId="1092"/>
    <cellStyle name="Output 8 12 2" xfId="2136"/>
    <cellStyle name="Output 8 12 3" xfId="3178"/>
    <cellStyle name="Output 8 12 4" xfId="4220"/>
    <cellStyle name="Output 8 12 5" xfId="5262"/>
    <cellStyle name="Output 8 13" xfId="1146"/>
    <cellStyle name="Output 8 14" xfId="2188"/>
    <cellStyle name="Output 8 15" xfId="3230"/>
    <cellStyle name="Output 8 16" xfId="4272"/>
    <cellStyle name="Output 8 2" xfId="196"/>
    <cellStyle name="Output 8 2 2" xfId="718"/>
    <cellStyle name="Output 8 2 2 2" xfId="1762"/>
    <cellStyle name="Output 8 2 2 3" xfId="2804"/>
    <cellStyle name="Output 8 2 2 4" xfId="3846"/>
    <cellStyle name="Output 8 2 2 5" xfId="4888"/>
    <cellStyle name="Output 8 2 3" xfId="1241"/>
    <cellStyle name="Output 8 2 4" xfId="2283"/>
    <cellStyle name="Output 8 2 5" xfId="3325"/>
    <cellStyle name="Output 8 2 6" xfId="4367"/>
    <cellStyle name="Output 8 3" xfId="249"/>
    <cellStyle name="Output 8 3 2" xfId="771"/>
    <cellStyle name="Output 8 3 2 2" xfId="1815"/>
    <cellStyle name="Output 8 3 2 3" xfId="2857"/>
    <cellStyle name="Output 8 3 2 4" xfId="3899"/>
    <cellStyle name="Output 8 3 2 5" xfId="4941"/>
    <cellStyle name="Output 8 3 3" xfId="1294"/>
    <cellStyle name="Output 8 3 4" xfId="2336"/>
    <cellStyle name="Output 8 3 5" xfId="3378"/>
    <cellStyle name="Output 8 3 6" xfId="4420"/>
    <cellStyle name="Output 8 4" xfId="282"/>
    <cellStyle name="Output 8 4 2" xfId="804"/>
    <cellStyle name="Output 8 4 2 2" xfId="1848"/>
    <cellStyle name="Output 8 4 2 3" xfId="2890"/>
    <cellStyle name="Output 8 4 2 4" xfId="3932"/>
    <cellStyle name="Output 8 4 2 5" xfId="4974"/>
    <cellStyle name="Output 8 4 3" xfId="1327"/>
    <cellStyle name="Output 8 4 4" xfId="2369"/>
    <cellStyle name="Output 8 4 5" xfId="3411"/>
    <cellStyle name="Output 8 4 6" xfId="4453"/>
    <cellStyle name="Output 8 5" xfId="324"/>
    <cellStyle name="Output 8 5 2" xfId="846"/>
    <cellStyle name="Output 8 5 2 2" xfId="1890"/>
    <cellStyle name="Output 8 5 2 3" xfId="2932"/>
    <cellStyle name="Output 8 5 2 4" xfId="3974"/>
    <cellStyle name="Output 8 5 2 5" xfId="5016"/>
    <cellStyle name="Output 8 5 3" xfId="1369"/>
    <cellStyle name="Output 8 5 4" xfId="2411"/>
    <cellStyle name="Output 8 5 5" xfId="3453"/>
    <cellStyle name="Output 8 5 6" xfId="4495"/>
    <cellStyle name="Output 8 6" xfId="412"/>
    <cellStyle name="Output 8 6 2" xfId="921"/>
    <cellStyle name="Output 8 6 2 2" xfId="1965"/>
    <cellStyle name="Output 8 6 2 3" xfId="3007"/>
    <cellStyle name="Output 8 6 2 4" xfId="4049"/>
    <cellStyle name="Output 8 6 2 5" xfId="5091"/>
    <cellStyle name="Output 8 6 3" xfId="1457"/>
    <cellStyle name="Output 8 6 4" xfId="2499"/>
    <cellStyle name="Output 8 6 5" xfId="3541"/>
    <cellStyle name="Output 8 6 6" xfId="4583"/>
    <cellStyle name="Output 8 7" xfId="355"/>
    <cellStyle name="Output 8 7 2" xfId="873"/>
    <cellStyle name="Output 8 7 2 2" xfId="1917"/>
    <cellStyle name="Output 8 7 2 3" xfId="2959"/>
    <cellStyle name="Output 8 7 2 4" xfId="4001"/>
    <cellStyle name="Output 8 7 2 5" xfId="5043"/>
    <cellStyle name="Output 8 7 3" xfId="1400"/>
    <cellStyle name="Output 8 7 4" xfId="2442"/>
    <cellStyle name="Output 8 7 5" xfId="3484"/>
    <cellStyle name="Output 8 7 6" xfId="4526"/>
    <cellStyle name="Output 8 8" xfId="513"/>
    <cellStyle name="Output 8 8 2" xfId="1003"/>
    <cellStyle name="Output 8 8 2 2" xfId="2047"/>
    <cellStyle name="Output 8 8 2 3" xfId="3089"/>
    <cellStyle name="Output 8 8 2 4" xfId="4131"/>
    <cellStyle name="Output 8 8 2 5" xfId="5173"/>
    <cellStyle name="Output 8 8 3" xfId="1557"/>
    <cellStyle name="Output 8 8 4" xfId="2599"/>
    <cellStyle name="Output 8 8 5" xfId="3641"/>
    <cellStyle name="Output 8 8 6" xfId="4683"/>
    <cellStyle name="Output 8 9" xfId="475"/>
    <cellStyle name="Output 8 9 2" xfId="966"/>
    <cellStyle name="Output 8 9 2 2" xfId="2010"/>
    <cellStyle name="Output 8 9 2 3" xfId="3052"/>
    <cellStyle name="Output 8 9 2 4" xfId="4094"/>
    <cellStyle name="Output 8 9 2 5" xfId="5136"/>
    <cellStyle name="Output 8 9 3" xfId="1519"/>
    <cellStyle name="Output 8 9 4" xfId="2561"/>
    <cellStyle name="Output 8 9 5" xfId="3603"/>
    <cellStyle name="Output 8 9 6" xfId="4645"/>
    <cellStyle name="Output 9" xfId="129"/>
    <cellStyle name="Output 9 10" xfId="651"/>
    <cellStyle name="Output 9 10 2" xfId="1695"/>
    <cellStyle name="Output 9 10 3" xfId="2737"/>
    <cellStyle name="Output 9 10 4" xfId="3779"/>
    <cellStyle name="Output 9 10 5" xfId="4821"/>
    <cellStyle name="Output 9 11" xfId="333"/>
    <cellStyle name="Output 9 11 2" xfId="1378"/>
    <cellStyle name="Output 9 11 3" xfId="2420"/>
    <cellStyle name="Output 9 11 4" xfId="3462"/>
    <cellStyle name="Output 9 11 5" xfId="4504"/>
    <cellStyle name="Output 9 12" xfId="1105"/>
    <cellStyle name="Output 9 12 2" xfId="2149"/>
    <cellStyle name="Output 9 12 3" xfId="3191"/>
    <cellStyle name="Output 9 12 4" xfId="4233"/>
    <cellStyle name="Output 9 12 5" xfId="5275"/>
    <cellStyle name="Output 9 13" xfId="1174"/>
    <cellStyle name="Output 9 14" xfId="2216"/>
    <cellStyle name="Output 9 15" xfId="3258"/>
    <cellStyle name="Output 9 16" xfId="4300"/>
    <cellStyle name="Output 9 2" xfId="206"/>
    <cellStyle name="Output 9 2 2" xfId="728"/>
    <cellStyle name="Output 9 2 2 2" xfId="1772"/>
    <cellStyle name="Output 9 2 2 3" xfId="2814"/>
    <cellStyle name="Output 9 2 2 4" xfId="3856"/>
    <cellStyle name="Output 9 2 2 5" xfId="4898"/>
    <cellStyle name="Output 9 2 3" xfId="1251"/>
    <cellStyle name="Output 9 2 4" xfId="2293"/>
    <cellStyle name="Output 9 2 5" xfId="3335"/>
    <cellStyle name="Output 9 2 6" xfId="4377"/>
    <cellStyle name="Output 9 3" xfId="230"/>
    <cellStyle name="Output 9 3 2" xfId="752"/>
    <cellStyle name="Output 9 3 2 2" xfId="1796"/>
    <cellStyle name="Output 9 3 2 3" xfId="2838"/>
    <cellStyle name="Output 9 3 2 4" xfId="3880"/>
    <cellStyle name="Output 9 3 2 5" xfId="4922"/>
    <cellStyle name="Output 9 3 3" xfId="1275"/>
    <cellStyle name="Output 9 3 4" xfId="2317"/>
    <cellStyle name="Output 9 3 5" xfId="3359"/>
    <cellStyle name="Output 9 3 6" xfId="4401"/>
    <cellStyle name="Output 9 4" xfId="293"/>
    <cellStyle name="Output 9 4 2" xfId="815"/>
    <cellStyle name="Output 9 4 2 2" xfId="1859"/>
    <cellStyle name="Output 9 4 2 3" xfId="2901"/>
    <cellStyle name="Output 9 4 2 4" xfId="3943"/>
    <cellStyle name="Output 9 4 2 5" xfId="4985"/>
    <cellStyle name="Output 9 4 3" xfId="1338"/>
    <cellStyle name="Output 9 4 4" xfId="2380"/>
    <cellStyle name="Output 9 4 5" xfId="3422"/>
    <cellStyle name="Output 9 4 6" xfId="4464"/>
    <cellStyle name="Output 9 5" xfId="309"/>
    <cellStyle name="Output 9 5 2" xfId="831"/>
    <cellStyle name="Output 9 5 2 2" xfId="1875"/>
    <cellStyle name="Output 9 5 2 3" xfId="2917"/>
    <cellStyle name="Output 9 5 2 4" xfId="3959"/>
    <cellStyle name="Output 9 5 2 5" xfId="5001"/>
    <cellStyle name="Output 9 5 3" xfId="1354"/>
    <cellStyle name="Output 9 5 4" xfId="2396"/>
    <cellStyle name="Output 9 5 5" xfId="3438"/>
    <cellStyle name="Output 9 5 6" xfId="4480"/>
    <cellStyle name="Output 9 6" xfId="425"/>
    <cellStyle name="Output 9 6 2" xfId="931"/>
    <cellStyle name="Output 9 6 2 2" xfId="1975"/>
    <cellStyle name="Output 9 6 2 3" xfId="3017"/>
    <cellStyle name="Output 9 6 2 4" xfId="4059"/>
    <cellStyle name="Output 9 6 2 5" xfId="5101"/>
    <cellStyle name="Output 9 6 3" xfId="1470"/>
    <cellStyle name="Output 9 6 4" xfId="2512"/>
    <cellStyle name="Output 9 6 5" xfId="3554"/>
    <cellStyle name="Output 9 6 6" xfId="4596"/>
    <cellStyle name="Output 9 7" xfId="360"/>
    <cellStyle name="Output 9 7 2" xfId="878"/>
    <cellStyle name="Output 9 7 2 2" xfId="1922"/>
    <cellStyle name="Output 9 7 2 3" xfId="2964"/>
    <cellStyle name="Output 9 7 2 4" xfId="4006"/>
    <cellStyle name="Output 9 7 2 5" xfId="5048"/>
    <cellStyle name="Output 9 7 3" xfId="1405"/>
    <cellStyle name="Output 9 7 4" xfId="2447"/>
    <cellStyle name="Output 9 7 5" xfId="3489"/>
    <cellStyle name="Output 9 7 6" xfId="4531"/>
    <cellStyle name="Output 9 8" xfId="525"/>
    <cellStyle name="Output 9 8 2" xfId="1015"/>
    <cellStyle name="Output 9 8 2 2" xfId="2059"/>
    <cellStyle name="Output 9 8 2 3" xfId="3101"/>
    <cellStyle name="Output 9 8 2 4" xfId="4143"/>
    <cellStyle name="Output 9 8 2 5" xfId="5185"/>
    <cellStyle name="Output 9 8 3" xfId="1569"/>
    <cellStyle name="Output 9 8 4" xfId="2611"/>
    <cellStyle name="Output 9 8 5" xfId="3653"/>
    <cellStyle name="Output 9 8 6" xfId="4695"/>
    <cellStyle name="Output 9 9" xfId="554"/>
    <cellStyle name="Output 9 9 2" xfId="1036"/>
    <cellStyle name="Output 9 9 2 2" xfId="2080"/>
    <cellStyle name="Output 9 9 2 3" xfId="3122"/>
    <cellStyle name="Output 9 9 2 4" xfId="4164"/>
    <cellStyle name="Output 9 9 2 5" xfId="5206"/>
    <cellStyle name="Output 9 9 3" xfId="1598"/>
    <cellStyle name="Output 9 9 4" xfId="2640"/>
    <cellStyle name="Output 9 9 5" xfId="3682"/>
    <cellStyle name="Output 9 9 6" xfId="4724"/>
    <cellStyle name="Percent 2" xfId="87"/>
    <cellStyle name="Percent 2 10" xfId="3215"/>
    <cellStyle name="Percent 2 11" xfId="4257"/>
    <cellStyle name="Percent 2 2" xfId="116"/>
    <cellStyle name="Percent 2 2 2" xfId="420"/>
    <cellStyle name="Percent 2 2 2 2" xfId="1465"/>
    <cellStyle name="Percent 2 2 2 3" xfId="2507"/>
    <cellStyle name="Percent 2 2 2 4" xfId="3549"/>
    <cellStyle name="Percent 2 2 2 5" xfId="4591"/>
    <cellStyle name="Percent 2 2 3" xfId="638"/>
    <cellStyle name="Percent 2 2 3 2" xfId="1682"/>
    <cellStyle name="Percent 2 2 3 3" xfId="2724"/>
    <cellStyle name="Percent 2 2 3 4" xfId="3766"/>
    <cellStyle name="Percent 2 2 3 5" xfId="4808"/>
    <cellStyle name="Percent 2 2 4" xfId="1100"/>
    <cellStyle name="Percent 2 2 4 2" xfId="2144"/>
    <cellStyle name="Percent 2 2 4 3" xfId="3186"/>
    <cellStyle name="Percent 2 2 4 4" xfId="4228"/>
    <cellStyle name="Percent 2 2 4 5" xfId="5270"/>
    <cellStyle name="Percent 2 2 5" xfId="1161"/>
    <cellStyle name="Percent 2 2 6" xfId="2203"/>
    <cellStyle name="Percent 2 2 7" xfId="3245"/>
    <cellStyle name="Percent 2 2 8" xfId="4287"/>
    <cellStyle name="Percent 2 3" xfId="181"/>
    <cellStyle name="Percent 2 3 2" xfId="397"/>
    <cellStyle name="Percent 2 3 2 2" xfId="1442"/>
    <cellStyle name="Percent 2 3 2 3" xfId="2484"/>
    <cellStyle name="Percent 2 3 2 4" xfId="3526"/>
    <cellStyle name="Percent 2 3 2 5" xfId="4568"/>
    <cellStyle name="Percent 2 3 3" xfId="703"/>
    <cellStyle name="Percent 2 3 3 2" xfId="1747"/>
    <cellStyle name="Percent 2 3 3 3" xfId="2789"/>
    <cellStyle name="Percent 2 3 3 4" xfId="3831"/>
    <cellStyle name="Percent 2 3 3 5" xfId="4873"/>
    <cellStyle name="Percent 2 3 4" xfId="1077"/>
    <cellStyle name="Percent 2 3 4 2" xfId="2121"/>
    <cellStyle name="Percent 2 3 4 3" xfId="3163"/>
    <cellStyle name="Percent 2 3 4 4" xfId="4205"/>
    <cellStyle name="Percent 2 3 4 5" xfId="5247"/>
    <cellStyle name="Percent 2 3 5" xfId="1226"/>
    <cellStyle name="Percent 2 3 6" xfId="2268"/>
    <cellStyle name="Percent 2 3 7" xfId="3310"/>
    <cellStyle name="Percent 2 3 8" xfId="4352"/>
    <cellStyle name="Percent 2 4" xfId="371"/>
    <cellStyle name="Percent 2 4 2" xfId="1416"/>
    <cellStyle name="Percent 2 4 3" xfId="2458"/>
    <cellStyle name="Percent 2 4 4" xfId="3500"/>
    <cellStyle name="Percent 2 4 5" xfId="4542"/>
    <cellStyle name="Percent 2 5" xfId="608"/>
    <cellStyle name="Percent 2 5 2" xfId="1652"/>
    <cellStyle name="Percent 2 5 3" xfId="2694"/>
    <cellStyle name="Percent 2 5 4" xfId="3736"/>
    <cellStyle name="Percent 2 5 5" xfId="4778"/>
    <cellStyle name="Percent 2 6" xfId="1051"/>
    <cellStyle name="Percent 2 6 2" xfId="2095"/>
    <cellStyle name="Percent 2 6 3" xfId="3137"/>
    <cellStyle name="Percent 2 6 4" xfId="4179"/>
    <cellStyle name="Percent 2 6 5" xfId="5221"/>
    <cellStyle name="Percent 2 7" xfId="1110"/>
    <cellStyle name="Percent 2 8" xfId="1131"/>
    <cellStyle name="Percent 2 9" xfId="2173"/>
    <cellStyle name="Percent 3" xfId="161"/>
    <cellStyle name="Percent 4" xfId="5279"/>
    <cellStyle name="Title 2" xfId="59"/>
    <cellStyle name="Total 10" xfId="138"/>
    <cellStyle name="Total 10 10" xfId="660"/>
    <cellStyle name="Total 10 10 2" xfId="1704"/>
    <cellStyle name="Total 10 10 3" xfId="2746"/>
    <cellStyle name="Total 10 10 4" xfId="3788"/>
    <cellStyle name="Total 10 10 5" xfId="4830"/>
    <cellStyle name="Total 10 11" xfId="549"/>
    <cellStyle name="Total 10 11 2" xfId="1593"/>
    <cellStyle name="Total 10 11 3" xfId="2635"/>
    <cellStyle name="Total 10 11 4" xfId="3677"/>
    <cellStyle name="Total 10 11 5" xfId="4719"/>
    <cellStyle name="Total 10 12" xfId="1107"/>
    <cellStyle name="Total 10 12 2" xfId="2151"/>
    <cellStyle name="Total 10 12 3" xfId="3193"/>
    <cellStyle name="Total 10 12 4" xfId="4235"/>
    <cellStyle name="Total 10 12 5" xfId="5277"/>
    <cellStyle name="Total 10 13" xfId="1183"/>
    <cellStyle name="Total 10 14" xfId="2225"/>
    <cellStyle name="Total 10 15" xfId="3267"/>
    <cellStyle name="Total 10 16" xfId="4309"/>
    <cellStyle name="Total 10 2" xfId="208"/>
    <cellStyle name="Total 10 2 2" xfId="730"/>
    <cellStyle name="Total 10 2 2 2" xfId="1774"/>
    <cellStyle name="Total 10 2 2 3" xfId="2816"/>
    <cellStyle name="Total 10 2 2 4" xfId="3858"/>
    <cellStyle name="Total 10 2 2 5" xfId="4900"/>
    <cellStyle name="Total 10 2 3" xfId="1253"/>
    <cellStyle name="Total 10 2 4" xfId="2295"/>
    <cellStyle name="Total 10 2 5" xfId="3337"/>
    <cellStyle name="Total 10 2 6" xfId="4379"/>
    <cellStyle name="Total 10 3" xfId="235"/>
    <cellStyle name="Total 10 3 2" xfId="757"/>
    <cellStyle name="Total 10 3 2 2" xfId="1801"/>
    <cellStyle name="Total 10 3 2 3" xfId="2843"/>
    <cellStyle name="Total 10 3 2 4" xfId="3885"/>
    <cellStyle name="Total 10 3 2 5" xfId="4927"/>
    <cellStyle name="Total 10 3 3" xfId="1280"/>
    <cellStyle name="Total 10 3 4" xfId="2322"/>
    <cellStyle name="Total 10 3 5" xfId="3364"/>
    <cellStyle name="Total 10 3 6" xfId="4406"/>
    <cellStyle name="Total 10 4" xfId="295"/>
    <cellStyle name="Total 10 4 2" xfId="817"/>
    <cellStyle name="Total 10 4 2 2" xfId="1861"/>
    <cellStyle name="Total 10 4 2 3" xfId="2903"/>
    <cellStyle name="Total 10 4 2 4" xfId="3945"/>
    <cellStyle name="Total 10 4 2 5" xfId="4987"/>
    <cellStyle name="Total 10 4 3" xfId="1340"/>
    <cellStyle name="Total 10 4 4" xfId="2382"/>
    <cellStyle name="Total 10 4 5" xfId="3424"/>
    <cellStyle name="Total 10 4 6" xfId="4466"/>
    <cellStyle name="Total 10 5" xfId="314"/>
    <cellStyle name="Total 10 5 2" xfId="836"/>
    <cellStyle name="Total 10 5 2 2" xfId="1880"/>
    <cellStyle name="Total 10 5 2 3" xfId="2922"/>
    <cellStyle name="Total 10 5 2 4" xfId="3964"/>
    <cellStyle name="Total 10 5 2 5" xfId="5006"/>
    <cellStyle name="Total 10 5 3" xfId="1359"/>
    <cellStyle name="Total 10 5 4" xfId="2401"/>
    <cellStyle name="Total 10 5 5" xfId="3443"/>
    <cellStyle name="Total 10 5 6" xfId="4485"/>
    <cellStyle name="Total 10 6" xfId="427"/>
    <cellStyle name="Total 10 6 2" xfId="933"/>
    <cellStyle name="Total 10 6 2 2" xfId="1977"/>
    <cellStyle name="Total 10 6 2 3" xfId="3019"/>
    <cellStyle name="Total 10 6 2 4" xfId="4061"/>
    <cellStyle name="Total 10 6 2 5" xfId="5103"/>
    <cellStyle name="Total 10 6 3" xfId="1472"/>
    <cellStyle name="Total 10 6 4" xfId="2514"/>
    <cellStyle name="Total 10 6 5" xfId="3556"/>
    <cellStyle name="Total 10 6 6" xfId="4598"/>
    <cellStyle name="Total 10 7" xfId="477"/>
    <cellStyle name="Total 10 7 2" xfId="968"/>
    <cellStyle name="Total 10 7 2 2" xfId="2012"/>
    <cellStyle name="Total 10 7 2 3" xfId="3054"/>
    <cellStyle name="Total 10 7 2 4" xfId="4096"/>
    <cellStyle name="Total 10 7 2 5" xfId="5138"/>
    <cellStyle name="Total 10 7 3" xfId="1521"/>
    <cellStyle name="Total 10 7 4" xfId="2563"/>
    <cellStyle name="Total 10 7 5" xfId="3605"/>
    <cellStyle name="Total 10 7 6" xfId="4647"/>
    <cellStyle name="Total 10 8" xfId="527"/>
    <cellStyle name="Total 10 8 2" xfId="1017"/>
    <cellStyle name="Total 10 8 2 2" xfId="2061"/>
    <cellStyle name="Total 10 8 2 3" xfId="3103"/>
    <cellStyle name="Total 10 8 2 4" xfId="4145"/>
    <cellStyle name="Total 10 8 2 5" xfId="5187"/>
    <cellStyle name="Total 10 8 3" xfId="1571"/>
    <cellStyle name="Total 10 8 4" xfId="2613"/>
    <cellStyle name="Total 10 8 5" xfId="3655"/>
    <cellStyle name="Total 10 8 6" xfId="4697"/>
    <cellStyle name="Total 10 9" xfId="559"/>
    <cellStyle name="Total 10 9 2" xfId="1041"/>
    <cellStyle name="Total 10 9 2 2" xfId="2085"/>
    <cellStyle name="Total 10 9 2 3" xfId="3127"/>
    <cellStyle name="Total 10 9 2 4" xfId="4169"/>
    <cellStyle name="Total 10 9 2 5" xfId="5211"/>
    <cellStyle name="Total 10 9 3" xfId="1603"/>
    <cellStyle name="Total 10 9 4" xfId="2645"/>
    <cellStyle name="Total 10 9 5" xfId="3687"/>
    <cellStyle name="Total 10 9 6" xfId="4729"/>
    <cellStyle name="Total 11" xfId="160"/>
    <cellStyle name="Total 11 10" xfId="577"/>
    <cellStyle name="Total 11 10 2" xfId="1621"/>
    <cellStyle name="Total 11 10 3" xfId="2663"/>
    <cellStyle name="Total 11 10 4" xfId="3705"/>
    <cellStyle name="Total 11 10 5" xfId="4747"/>
    <cellStyle name="Total 11 11" xfId="1056"/>
    <cellStyle name="Total 11 11 2" xfId="2100"/>
    <cellStyle name="Total 11 11 3" xfId="3142"/>
    <cellStyle name="Total 11 11 4" xfId="4184"/>
    <cellStyle name="Total 11 11 5" xfId="5226"/>
    <cellStyle name="Total 11 12" xfId="1205"/>
    <cellStyle name="Total 11 13" xfId="2247"/>
    <cellStyle name="Total 11 14" xfId="3289"/>
    <cellStyle name="Total 11 15" xfId="4331"/>
    <cellStyle name="Total 11 2" xfId="218"/>
    <cellStyle name="Total 11 2 2" xfId="740"/>
    <cellStyle name="Total 11 2 2 2" xfId="1784"/>
    <cellStyle name="Total 11 2 2 3" xfId="2826"/>
    <cellStyle name="Total 11 2 2 4" xfId="3868"/>
    <cellStyle name="Total 11 2 2 5" xfId="4910"/>
    <cellStyle name="Total 11 2 3" xfId="1263"/>
    <cellStyle name="Total 11 2 4" xfId="2305"/>
    <cellStyle name="Total 11 2 5" xfId="3347"/>
    <cellStyle name="Total 11 2 6" xfId="4389"/>
    <cellStyle name="Total 11 3" xfId="221"/>
    <cellStyle name="Total 11 3 2" xfId="743"/>
    <cellStyle name="Total 11 3 2 2" xfId="1787"/>
    <cellStyle name="Total 11 3 2 3" xfId="2829"/>
    <cellStyle name="Total 11 3 2 4" xfId="3871"/>
    <cellStyle name="Total 11 3 2 5" xfId="4913"/>
    <cellStyle name="Total 11 3 3" xfId="1266"/>
    <cellStyle name="Total 11 3 4" xfId="2308"/>
    <cellStyle name="Total 11 3 5" xfId="3350"/>
    <cellStyle name="Total 11 3 6" xfId="4392"/>
    <cellStyle name="Total 11 4" xfId="298"/>
    <cellStyle name="Total 11 4 2" xfId="820"/>
    <cellStyle name="Total 11 4 2 2" xfId="1864"/>
    <cellStyle name="Total 11 4 2 3" xfId="2906"/>
    <cellStyle name="Total 11 4 2 4" xfId="3948"/>
    <cellStyle name="Total 11 4 2 5" xfId="4990"/>
    <cellStyle name="Total 11 4 3" xfId="1343"/>
    <cellStyle name="Total 11 4 4" xfId="2385"/>
    <cellStyle name="Total 11 4 5" xfId="3427"/>
    <cellStyle name="Total 11 4 6" xfId="4469"/>
    <cellStyle name="Total 11 5" xfId="376"/>
    <cellStyle name="Total 11 5 2" xfId="889"/>
    <cellStyle name="Total 11 5 2 2" xfId="1933"/>
    <cellStyle name="Total 11 5 2 3" xfId="2975"/>
    <cellStyle name="Total 11 5 2 4" xfId="4017"/>
    <cellStyle name="Total 11 5 2 5" xfId="5059"/>
    <cellStyle name="Total 11 5 3" xfId="1421"/>
    <cellStyle name="Total 11 5 4" xfId="2463"/>
    <cellStyle name="Total 11 5 5" xfId="3505"/>
    <cellStyle name="Total 11 5 6" xfId="4547"/>
    <cellStyle name="Total 11 6" xfId="444"/>
    <cellStyle name="Total 11 6 2" xfId="943"/>
    <cellStyle name="Total 11 6 2 2" xfId="1987"/>
    <cellStyle name="Total 11 6 2 3" xfId="3029"/>
    <cellStyle name="Total 11 6 2 4" xfId="4071"/>
    <cellStyle name="Total 11 6 2 5" xfId="5113"/>
    <cellStyle name="Total 11 6 3" xfId="1488"/>
    <cellStyle name="Total 11 6 4" xfId="2530"/>
    <cellStyle name="Total 11 6 5" xfId="3572"/>
    <cellStyle name="Total 11 6 6" xfId="4614"/>
    <cellStyle name="Total 11 7" xfId="463"/>
    <cellStyle name="Total 11 7 2" xfId="956"/>
    <cellStyle name="Total 11 7 2 2" xfId="2000"/>
    <cellStyle name="Total 11 7 2 3" xfId="3042"/>
    <cellStyle name="Total 11 7 2 4" xfId="4084"/>
    <cellStyle name="Total 11 7 2 5" xfId="5126"/>
    <cellStyle name="Total 11 7 3" xfId="1507"/>
    <cellStyle name="Total 11 7 4" xfId="2549"/>
    <cellStyle name="Total 11 7 5" xfId="3591"/>
    <cellStyle name="Total 11 7 6" xfId="4633"/>
    <cellStyle name="Total 11 8" xfId="568"/>
    <cellStyle name="Total 11 8 2" xfId="1044"/>
    <cellStyle name="Total 11 8 2 2" xfId="2088"/>
    <cellStyle name="Total 11 8 2 3" xfId="3130"/>
    <cellStyle name="Total 11 8 2 4" xfId="4172"/>
    <cellStyle name="Total 11 8 2 5" xfId="5214"/>
    <cellStyle name="Total 11 8 3" xfId="1612"/>
    <cellStyle name="Total 11 8 4" xfId="2654"/>
    <cellStyle name="Total 11 8 5" xfId="3696"/>
    <cellStyle name="Total 11 8 6" xfId="4738"/>
    <cellStyle name="Total 11 9" xfId="682"/>
    <cellStyle name="Total 11 9 2" xfId="1726"/>
    <cellStyle name="Total 11 9 3" xfId="2768"/>
    <cellStyle name="Total 11 9 4" xfId="3810"/>
    <cellStyle name="Total 11 9 5" xfId="4852"/>
    <cellStyle name="Total 12" xfId="148"/>
    <cellStyle name="Total 12 2" xfId="670"/>
    <cellStyle name="Total 12 2 2" xfId="1714"/>
    <cellStyle name="Total 12 2 3" xfId="2756"/>
    <cellStyle name="Total 12 2 4" xfId="3798"/>
    <cellStyle name="Total 12 2 5" xfId="4840"/>
    <cellStyle name="Total 12 3" xfId="1193"/>
    <cellStyle name="Total 12 4" xfId="2235"/>
    <cellStyle name="Total 12 5" xfId="3277"/>
    <cellStyle name="Total 12 6" xfId="4319"/>
    <cellStyle name="Total 13" xfId="60"/>
    <cellStyle name="Total 2" xfId="82"/>
    <cellStyle name="Total 2 10" xfId="603"/>
    <cellStyle name="Total 2 10 2" xfId="1647"/>
    <cellStyle name="Total 2 10 3" xfId="2689"/>
    <cellStyle name="Total 2 10 4" xfId="3731"/>
    <cellStyle name="Total 2 10 5" xfId="4773"/>
    <cellStyle name="Total 2 11" xfId="584"/>
    <cellStyle name="Total 2 11 2" xfId="1628"/>
    <cellStyle name="Total 2 11 3" xfId="2670"/>
    <cellStyle name="Total 2 11 4" xfId="3712"/>
    <cellStyle name="Total 2 11 5" xfId="4754"/>
    <cellStyle name="Total 2 12" xfId="1072"/>
    <cellStyle name="Total 2 12 2" xfId="2116"/>
    <cellStyle name="Total 2 12 3" xfId="3158"/>
    <cellStyle name="Total 2 12 4" xfId="4200"/>
    <cellStyle name="Total 2 12 5" xfId="5242"/>
    <cellStyle name="Total 2 13" xfId="1126"/>
    <cellStyle name="Total 2 14" xfId="2168"/>
    <cellStyle name="Total 2 15" xfId="3210"/>
    <cellStyle name="Total 2 16" xfId="4252"/>
    <cellStyle name="Total 2 2" xfId="177"/>
    <cellStyle name="Total 2 2 2" xfId="698"/>
    <cellStyle name="Total 2 2 2 2" xfId="1742"/>
    <cellStyle name="Total 2 2 2 3" xfId="2784"/>
    <cellStyle name="Total 2 2 2 4" xfId="3826"/>
    <cellStyle name="Total 2 2 2 5" xfId="4868"/>
    <cellStyle name="Total 2 2 3" xfId="1221"/>
    <cellStyle name="Total 2 2 4" xfId="2263"/>
    <cellStyle name="Total 2 2 5" xfId="3305"/>
    <cellStyle name="Total 2 2 6" xfId="4347"/>
    <cellStyle name="Total 2 3" xfId="110"/>
    <cellStyle name="Total 2 3 2" xfId="631"/>
    <cellStyle name="Total 2 3 2 2" xfId="1675"/>
    <cellStyle name="Total 2 3 2 3" xfId="2717"/>
    <cellStyle name="Total 2 3 2 4" xfId="3759"/>
    <cellStyle name="Total 2 3 2 5" xfId="4801"/>
    <cellStyle name="Total 2 3 3" xfId="1154"/>
    <cellStyle name="Total 2 3 4" xfId="2196"/>
    <cellStyle name="Total 2 3 5" xfId="3238"/>
    <cellStyle name="Total 2 3 6" xfId="4280"/>
    <cellStyle name="Total 2 4" xfId="265"/>
    <cellStyle name="Total 2 4 2" xfId="787"/>
    <cellStyle name="Total 2 4 2 2" xfId="1831"/>
    <cellStyle name="Total 2 4 2 3" xfId="2873"/>
    <cellStyle name="Total 2 4 2 4" xfId="3915"/>
    <cellStyle name="Total 2 4 2 5" xfId="4957"/>
    <cellStyle name="Total 2 4 3" xfId="1310"/>
    <cellStyle name="Total 2 4 4" xfId="2352"/>
    <cellStyle name="Total 2 4 5" xfId="3394"/>
    <cellStyle name="Total 2 4 6" xfId="4436"/>
    <cellStyle name="Total 2 5" xfId="155"/>
    <cellStyle name="Total 2 5 2" xfId="677"/>
    <cellStyle name="Total 2 5 2 2" xfId="1721"/>
    <cellStyle name="Total 2 5 2 3" xfId="2763"/>
    <cellStyle name="Total 2 5 2 4" xfId="3805"/>
    <cellStyle name="Total 2 5 2 5" xfId="4847"/>
    <cellStyle name="Total 2 5 3" xfId="1200"/>
    <cellStyle name="Total 2 5 4" xfId="2242"/>
    <cellStyle name="Total 2 5 5" xfId="3284"/>
    <cellStyle name="Total 2 5 6" xfId="4326"/>
    <cellStyle name="Total 2 6" xfId="392"/>
    <cellStyle name="Total 2 6 2" xfId="904"/>
    <cellStyle name="Total 2 6 2 2" xfId="1948"/>
    <cellStyle name="Total 2 6 2 3" xfId="2990"/>
    <cellStyle name="Total 2 6 2 4" xfId="4032"/>
    <cellStyle name="Total 2 6 2 5" xfId="5074"/>
    <cellStyle name="Total 2 6 3" xfId="1437"/>
    <cellStyle name="Total 2 6 4" xfId="2479"/>
    <cellStyle name="Total 2 6 5" xfId="3521"/>
    <cellStyle name="Total 2 6 6" xfId="4563"/>
    <cellStyle name="Total 2 7" xfId="467"/>
    <cellStyle name="Total 2 7 2" xfId="959"/>
    <cellStyle name="Total 2 7 2 2" xfId="2003"/>
    <cellStyle name="Total 2 7 2 3" xfId="3045"/>
    <cellStyle name="Total 2 7 2 4" xfId="4087"/>
    <cellStyle name="Total 2 7 2 5" xfId="5129"/>
    <cellStyle name="Total 2 7 3" xfId="1511"/>
    <cellStyle name="Total 2 7 4" xfId="2553"/>
    <cellStyle name="Total 2 7 5" xfId="3595"/>
    <cellStyle name="Total 2 7 6" xfId="4637"/>
    <cellStyle name="Total 2 8" xfId="494"/>
    <cellStyle name="Total 2 8 2" xfId="984"/>
    <cellStyle name="Total 2 8 2 2" xfId="2028"/>
    <cellStyle name="Total 2 8 2 3" xfId="3070"/>
    <cellStyle name="Total 2 8 2 4" xfId="4112"/>
    <cellStyle name="Total 2 8 2 5" xfId="5154"/>
    <cellStyle name="Total 2 8 3" xfId="1538"/>
    <cellStyle name="Total 2 8 4" xfId="2580"/>
    <cellStyle name="Total 2 8 5" xfId="3622"/>
    <cellStyle name="Total 2 8 6" xfId="4664"/>
    <cellStyle name="Total 2 9" xfId="476"/>
    <cellStyle name="Total 2 9 2" xfId="967"/>
    <cellStyle name="Total 2 9 2 2" xfId="2011"/>
    <cellStyle name="Total 2 9 2 3" xfId="3053"/>
    <cellStyle name="Total 2 9 2 4" xfId="4095"/>
    <cellStyle name="Total 2 9 2 5" xfId="5137"/>
    <cellStyle name="Total 2 9 3" xfId="1520"/>
    <cellStyle name="Total 2 9 4" xfId="2562"/>
    <cellStyle name="Total 2 9 5" xfId="3604"/>
    <cellStyle name="Total 2 9 6" xfId="4646"/>
    <cellStyle name="Total 3" xfId="84"/>
    <cellStyle name="Total 3 10" xfId="605"/>
    <cellStyle name="Total 3 10 2" xfId="1649"/>
    <cellStyle name="Total 3 10 3" xfId="2691"/>
    <cellStyle name="Total 3 10 4" xfId="3733"/>
    <cellStyle name="Total 3 10 5" xfId="4775"/>
    <cellStyle name="Total 3 11" xfId="582"/>
    <cellStyle name="Total 3 11 2" xfId="1626"/>
    <cellStyle name="Total 3 11 3" xfId="2668"/>
    <cellStyle name="Total 3 11 4" xfId="3710"/>
    <cellStyle name="Total 3 11 5" xfId="4752"/>
    <cellStyle name="Total 3 12" xfId="1074"/>
    <cellStyle name="Total 3 12 2" xfId="2118"/>
    <cellStyle name="Total 3 12 3" xfId="3160"/>
    <cellStyle name="Total 3 12 4" xfId="4202"/>
    <cellStyle name="Total 3 12 5" xfId="5244"/>
    <cellStyle name="Total 3 13" xfId="1128"/>
    <cellStyle name="Total 3 14" xfId="2170"/>
    <cellStyle name="Total 3 15" xfId="3212"/>
    <cellStyle name="Total 3 16" xfId="4254"/>
    <cellStyle name="Total 3 2" xfId="179"/>
    <cellStyle name="Total 3 2 2" xfId="700"/>
    <cellStyle name="Total 3 2 2 2" xfId="1744"/>
    <cellStyle name="Total 3 2 2 3" xfId="2786"/>
    <cellStyle name="Total 3 2 2 4" xfId="3828"/>
    <cellStyle name="Total 3 2 2 5" xfId="4870"/>
    <cellStyle name="Total 3 2 3" xfId="1223"/>
    <cellStyle name="Total 3 2 4" xfId="2265"/>
    <cellStyle name="Total 3 2 5" xfId="3307"/>
    <cellStyle name="Total 3 2 6" xfId="4349"/>
    <cellStyle name="Total 3 3" xfId="132"/>
    <cellStyle name="Total 3 3 2" xfId="654"/>
    <cellStyle name="Total 3 3 2 2" xfId="1698"/>
    <cellStyle name="Total 3 3 2 3" xfId="2740"/>
    <cellStyle name="Total 3 3 2 4" xfId="3782"/>
    <cellStyle name="Total 3 3 2 5" xfId="4824"/>
    <cellStyle name="Total 3 3 3" xfId="1177"/>
    <cellStyle name="Total 3 3 4" xfId="2219"/>
    <cellStyle name="Total 3 3 5" xfId="3261"/>
    <cellStyle name="Total 3 3 6" xfId="4303"/>
    <cellStyle name="Total 3 4" xfId="267"/>
    <cellStyle name="Total 3 4 2" xfId="789"/>
    <cellStyle name="Total 3 4 2 2" xfId="1833"/>
    <cellStyle name="Total 3 4 2 3" xfId="2875"/>
    <cellStyle name="Total 3 4 2 4" xfId="3917"/>
    <cellStyle name="Total 3 4 2 5" xfId="4959"/>
    <cellStyle name="Total 3 4 3" xfId="1312"/>
    <cellStyle name="Total 3 4 4" xfId="2354"/>
    <cellStyle name="Total 3 4 5" xfId="3396"/>
    <cellStyle name="Total 3 4 6" xfId="4438"/>
    <cellStyle name="Total 3 5" xfId="131"/>
    <cellStyle name="Total 3 5 2" xfId="653"/>
    <cellStyle name="Total 3 5 2 2" xfId="1697"/>
    <cellStyle name="Total 3 5 2 3" xfId="2739"/>
    <cellStyle name="Total 3 5 2 4" xfId="3781"/>
    <cellStyle name="Total 3 5 2 5" xfId="4823"/>
    <cellStyle name="Total 3 5 3" xfId="1176"/>
    <cellStyle name="Total 3 5 4" xfId="2218"/>
    <cellStyle name="Total 3 5 5" xfId="3260"/>
    <cellStyle name="Total 3 5 6" xfId="4302"/>
    <cellStyle name="Total 3 6" xfId="394"/>
    <cellStyle name="Total 3 6 2" xfId="906"/>
    <cellStyle name="Total 3 6 2 2" xfId="1950"/>
    <cellStyle name="Total 3 6 2 3" xfId="2992"/>
    <cellStyle name="Total 3 6 2 4" xfId="4034"/>
    <cellStyle name="Total 3 6 2 5" xfId="5076"/>
    <cellStyle name="Total 3 6 3" xfId="1439"/>
    <cellStyle name="Total 3 6 4" xfId="2481"/>
    <cellStyle name="Total 3 6 5" xfId="3523"/>
    <cellStyle name="Total 3 6 6" xfId="4565"/>
    <cellStyle name="Total 3 7" xfId="459"/>
    <cellStyle name="Total 3 7 2" xfId="953"/>
    <cellStyle name="Total 3 7 2 2" xfId="1997"/>
    <cellStyle name="Total 3 7 2 3" xfId="3039"/>
    <cellStyle name="Total 3 7 2 4" xfId="4081"/>
    <cellStyle name="Total 3 7 2 5" xfId="5123"/>
    <cellStyle name="Total 3 7 3" xfId="1503"/>
    <cellStyle name="Total 3 7 4" xfId="2545"/>
    <cellStyle name="Total 3 7 5" xfId="3587"/>
    <cellStyle name="Total 3 7 6" xfId="4629"/>
    <cellStyle name="Total 3 8" xfId="496"/>
    <cellStyle name="Total 3 8 2" xfId="986"/>
    <cellStyle name="Total 3 8 2 2" xfId="2030"/>
    <cellStyle name="Total 3 8 2 3" xfId="3072"/>
    <cellStyle name="Total 3 8 2 4" xfId="4114"/>
    <cellStyle name="Total 3 8 2 5" xfId="5156"/>
    <cellStyle name="Total 3 8 3" xfId="1540"/>
    <cellStyle name="Total 3 8 4" xfId="2582"/>
    <cellStyle name="Total 3 8 5" xfId="3624"/>
    <cellStyle name="Total 3 8 6" xfId="4666"/>
    <cellStyle name="Total 3 9" xfId="461"/>
    <cellStyle name="Total 3 9 2" xfId="955"/>
    <cellStyle name="Total 3 9 2 2" xfId="1999"/>
    <cellStyle name="Total 3 9 2 3" xfId="3041"/>
    <cellStyle name="Total 3 9 2 4" xfId="4083"/>
    <cellStyle name="Total 3 9 2 5" xfId="5125"/>
    <cellStyle name="Total 3 9 3" xfId="1505"/>
    <cellStyle name="Total 3 9 4" xfId="2547"/>
    <cellStyle name="Total 3 9 5" xfId="3589"/>
    <cellStyle name="Total 3 9 6" xfId="4631"/>
    <cellStyle name="Total 4" xfId="91"/>
    <cellStyle name="Total 4 10" xfId="612"/>
    <cellStyle name="Total 4 10 2" xfId="1656"/>
    <cellStyle name="Total 4 10 3" xfId="2698"/>
    <cellStyle name="Total 4 10 4" xfId="3740"/>
    <cellStyle name="Total 4 10 5" xfId="4782"/>
    <cellStyle name="Total 4 11" xfId="583"/>
    <cellStyle name="Total 4 11 2" xfId="1627"/>
    <cellStyle name="Total 4 11 3" xfId="2669"/>
    <cellStyle name="Total 4 11 4" xfId="3711"/>
    <cellStyle name="Total 4 11 5" xfId="4753"/>
    <cellStyle name="Total 4 12" xfId="1081"/>
    <cellStyle name="Total 4 12 2" xfId="2125"/>
    <cellStyle name="Total 4 12 3" xfId="3167"/>
    <cellStyle name="Total 4 12 4" xfId="4209"/>
    <cellStyle name="Total 4 12 5" xfId="5251"/>
    <cellStyle name="Total 4 13" xfId="1135"/>
    <cellStyle name="Total 4 14" xfId="2177"/>
    <cellStyle name="Total 4 15" xfId="3219"/>
    <cellStyle name="Total 4 16" xfId="4261"/>
    <cellStyle name="Total 4 2" xfId="185"/>
    <cellStyle name="Total 4 2 2" xfId="707"/>
    <cellStyle name="Total 4 2 2 2" xfId="1751"/>
    <cellStyle name="Total 4 2 2 3" xfId="2793"/>
    <cellStyle name="Total 4 2 2 4" xfId="3835"/>
    <cellStyle name="Total 4 2 2 5" xfId="4877"/>
    <cellStyle name="Total 4 2 3" xfId="1230"/>
    <cellStyle name="Total 4 2 4" xfId="2272"/>
    <cellStyle name="Total 4 2 5" xfId="3314"/>
    <cellStyle name="Total 4 2 6" xfId="4356"/>
    <cellStyle name="Total 4 3" xfId="112"/>
    <cellStyle name="Total 4 3 2" xfId="633"/>
    <cellStyle name="Total 4 3 2 2" xfId="1677"/>
    <cellStyle name="Total 4 3 2 3" xfId="2719"/>
    <cellStyle name="Total 4 3 2 4" xfId="3761"/>
    <cellStyle name="Total 4 3 2 5" xfId="4803"/>
    <cellStyle name="Total 4 3 3" xfId="1156"/>
    <cellStyle name="Total 4 3 4" xfId="2198"/>
    <cellStyle name="Total 4 3 5" xfId="3240"/>
    <cellStyle name="Total 4 3 6" xfId="4282"/>
    <cellStyle name="Total 4 4" xfId="271"/>
    <cellStyle name="Total 4 4 2" xfId="793"/>
    <cellStyle name="Total 4 4 2 2" xfId="1837"/>
    <cellStyle name="Total 4 4 2 3" xfId="2879"/>
    <cellStyle name="Total 4 4 2 4" xfId="3921"/>
    <cellStyle name="Total 4 4 2 5" xfId="4963"/>
    <cellStyle name="Total 4 4 3" xfId="1316"/>
    <cellStyle name="Total 4 4 4" xfId="2358"/>
    <cellStyle name="Total 4 4 5" xfId="3400"/>
    <cellStyle name="Total 4 4 6" xfId="4442"/>
    <cellStyle name="Total 4 5" xfId="142"/>
    <cellStyle name="Total 4 5 2" xfId="664"/>
    <cellStyle name="Total 4 5 2 2" xfId="1708"/>
    <cellStyle name="Total 4 5 2 3" xfId="2750"/>
    <cellStyle name="Total 4 5 2 4" xfId="3792"/>
    <cellStyle name="Total 4 5 2 5" xfId="4834"/>
    <cellStyle name="Total 4 5 3" xfId="1187"/>
    <cellStyle name="Total 4 5 4" xfId="2229"/>
    <cellStyle name="Total 4 5 5" xfId="3271"/>
    <cellStyle name="Total 4 5 6" xfId="4313"/>
    <cellStyle name="Total 4 6" xfId="401"/>
    <cellStyle name="Total 4 6 2" xfId="910"/>
    <cellStyle name="Total 4 6 2 2" xfId="1954"/>
    <cellStyle name="Total 4 6 2 3" xfId="2996"/>
    <cellStyle name="Total 4 6 2 4" xfId="4038"/>
    <cellStyle name="Total 4 6 2 5" xfId="5080"/>
    <cellStyle name="Total 4 6 3" xfId="1446"/>
    <cellStyle name="Total 4 6 4" xfId="2488"/>
    <cellStyle name="Total 4 6 5" xfId="3530"/>
    <cellStyle name="Total 4 6 6" xfId="4572"/>
    <cellStyle name="Total 4 7" xfId="345"/>
    <cellStyle name="Total 4 7 2" xfId="863"/>
    <cellStyle name="Total 4 7 2 2" xfId="1907"/>
    <cellStyle name="Total 4 7 2 3" xfId="2949"/>
    <cellStyle name="Total 4 7 2 4" xfId="3991"/>
    <cellStyle name="Total 4 7 2 5" xfId="5033"/>
    <cellStyle name="Total 4 7 3" xfId="1390"/>
    <cellStyle name="Total 4 7 4" xfId="2432"/>
    <cellStyle name="Total 4 7 5" xfId="3474"/>
    <cellStyle name="Total 4 7 6" xfId="4516"/>
    <cellStyle name="Total 4 8" xfId="502"/>
    <cellStyle name="Total 4 8 2" xfId="992"/>
    <cellStyle name="Total 4 8 2 2" xfId="2036"/>
    <cellStyle name="Total 4 8 2 3" xfId="3078"/>
    <cellStyle name="Total 4 8 2 4" xfId="4120"/>
    <cellStyle name="Total 4 8 2 5" xfId="5162"/>
    <cellStyle name="Total 4 8 3" xfId="1546"/>
    <cellStyle name="Total 4 8 4" xfId="2588"/>
    <cellStyle name="Total 4 8 5" xfId="3630"/>
    <cellStyle name="Total 4 8 6" xfId="4672"/>
    <cellStyle name="Total 4 9" xfId="442"/>
    <cellStyle name="Total 4 9 2" xfId="942"/>
    <cellStyle name="Total 4 9 2 2" xfId="1986"/>
    <cellStyle name="Total 4 9 2 3" xfId="3028"/>
    <cellStyle name="Total 4 9 2 4" xfId="4070"/>
    <cellStyle name="Total 4 9 2 5" xfId="5112"/>
    <cellStyle name="Total 4 9 3" xfId="1486"/>
    <cellStyle name="Total 4 9 4" xfId="2528"/>
    <cellStyle name="Total 4 9 5" xfId="3570"/>
    <cellStyle name="Total 4 9 6" xfId="4612"/>
    <cellStyle name="Total 5" xfId="71"/>
    <cellStyle name="Total 5 10" xfId="592"/>
    <cellStyle name="Total 5 10 2" xfId="1636"/>
    <cellStyle name="Total 5 10 3" xfId="2678"/>
    <cellStyle name="Total 5 10 4" xfId="3720"/>
    <cellStyle name="Total 5 10 5" xfId="4762"/>
    <cellStyle name="Total 5 11" xfId="451"/>
    <cellStyle name="Total 5 11 2" xfId="1495"/>
    <cellStyle name="Total 5 11 3" xfId="2537"/>
    <cellStyle name="Total 5 11 4" xfId="3579"/>
    <cellStyle name="Total 5 11 5" xfId="4621"/>
    <cellStyle name="Total 5 12" xfId="1061"/>
    <cellStyle name="Total 5 12 2" xfId="2105"/>
    <cellStyle name="Total 5 12 3" xfId="3147"/>
    <cellStyle name="Total 5 12 4" xfId="4189"/>
    <cellStyle name="Total 5 12 5" xfId="5231"/>
    <cellStyle name="Total 5 13" xfId="1115"/>
    <cellStyle name="Total 5 14" xfId="2157"/>
    <cellStyle name="Total 5 15" xfId="3199"/>
    <cellStyle name="Total 5 16" xfId="4241"/>
    <cellStyle name="Total 5 2" xfId="166"/>
    <cellStyle name="Total 5 2 2" xfId="687"/>
    <cellStyle name="Total 5 2 2 2" xfId="1731"/>
    <cellStyle name="Total 5 2 2 3" xfId="2773"/>
    <cellStyle name="Total 5 2 2 4" xfId="3815"/>
    <cellStyle name="Total 5 2 2 5" xfId="4857"/>
    <cellStyle name="Total 5 2 3" xfId="1210"/>
    <cellStyle name="Total 5 2 4" xfId="2252"/>
    <cellStyle name="Total 5 2 5" xfId="3294"/>
    <cellStyle name="Total 5 2 6" xfId="4336"/>
    <cellStyle name="Total 5 3" xfId="146"/>
    <cellStyle name="Total 5 3 2" xfId="668"/>
    <cellStyle name="Total 5 3 2 2" xfId="1712"/>
    <cellStyle name="Total 5 3 2 3" xfId="2754"/>
    <cellStyle name="Total 5 3 2 4" xfId="3796"/>
    <cellStyle name="Total 5 3 2 5" xfId="4838"/>
    <cellStyle name="Total 5 3 3" xfId="1191"/>
    <cellStyle name="Total 5 3 4" xfId="2233"/>
    <cellStyle name="Total 5 3 5" xfId="3275"/>
    <cellStyle name="Total 5 3 6" xfId="4317"/>
    <cellStyle name="Total 5 4" xfId="254"/>
    <cellStyle name="Total 5 4 2" xfId="776"/>
    <cellStyle name="Total 5 4 2 2" xfId="1820"/>
    <cellStyle name="Total 5 4 2 3" xfId="2862"/>
    <cellStyle name="Total 5 4 2 4" xfId="3904"/>
    <cellStyle name="Total 5 4 2 5" xfId="4946"/>
    <cellStyle name="Total 5 4 3" xfId="1299"/>
    <cellStyle name="Total 5 4 4" xfId="2341"/>
    <cellStyle name="Total 5 4 5" xfId="3383"/>
    <cellStyle name="Total 5 4 6" xfId="4425"/>
    <cellStyle name="Total 5 5" xfId="288"/>
    <cellStyle name="Total 5 5 2" xfId="810"/>
    <cellStyle name="Total 5 5 2 2" xfId="1854"/>
    <cellStyle name="Total 5 5 2 3" xfId="2896"/>
    <cellStyle name="Total 5 5 2 4" xfId="3938"/>
    <cellStyle name="Total 5 5 2 5" xfId="4980"/>
    <cellStyle name="Total 5 5 3" xfId="1333"/>
    <cellStyle name="Total 5 5 4" xfId="2375"/>
    <cellStyle name="Total 5 5 5" xfId="3417"/>
    <cellStyle name="Total 5 5 6" xfId="4459"/>
    <cellStyle name="Total 5 6" xfId="381"/>
    <cellStyle name="Total 5 6 2" xfId="893"/>
    <cellStyle name="Total 5 6 2 2" xfId="1937"/>
    <cellStyle name="Total 5 6 2 3" xfId="2979"/>
    <cellStyle name="Total 5 6 2 4" xfId="4021"/>
    <cellStyle name="Total 5 6 2 5" xfId="5063"/>
    <cellStyle name="Total 5 6 3" xfId="1426"/>
    <cellStyle name="Total 5 6 4" xfId="2468"/>
    <cellStyle name="Total 5 6 5" xfId="3510"/>
    <cellStyle name="Total 5 6 6" xfId="4552"/>
    <cellStyle name="Total 5 7" xfId="336"/>
    <cellStyle name="Total 5 7 2" xfId="854"/>
    <cellStyle name="Total 5 7 2 2" xfId="1898"/>
    <cellStyle name="Total 5 7 2 3" xfId="2940"/>
    <cellStyle name="Total 5 7 2 4" xfId="3982"/>
    <cellStyle name="Total 5 7 2 5" xfId="5024"/>
    <cellStyle name="Total 5 7 3" xfId="1381"/>
    <cellStyle name="Total 5 7 4" xfId="2423"/>
    <cellStyle name="Total 5 7 5" xfId="3465"/>
    <cellStyle name="Total 5 7 6" xfId="4507"/>
    <cellStyle name="Total 5 8" xfId="483"/>
    <cellStyle name="Total 5 8 2" xfId="973"/>
    <cellStyle name="Total 5 8 2 2" xfId="2017"/>
    <cellStyle name="Total 5 8 2 3" xfId="3059"/>
    <cellStyle name="Total 5 8 2 4" xfId="4101"/>
    <cellStyle name="Total 5 8 2 5" xfId="5143"/>
    <cellStyle name="Total 5 8 3" xfId="1527"/>
    <cellStyle name="Total 5 8 4" xfId="2569"/>
    <cellStyle name="Total 5 8 5" xfId="3611"/>
    <cellStyle name="Total 5 8 6" xfId="4653"/>
    <cellStyle name="Total 5 9" xfId="328"/>
    <cellStyle name="Total 5 9 2" xfId="850"/>
    <cellStyle name="Total 5 9 2 2" xfId="1894"/>
    <cellStyle name="Total 5 9 2 3" xfId="2936"/>
    <cellStyle name="Total 5 9 2 4" xfId="3978"/>
    <cellStyle name="Total 5 9 2 5" xfId="5020"/>
    <cellStyle name="Total 5 9 3" xfId="1373"/>
    <cellStyle name="Total 5 9 4" xfId="2415"/>
    <cellStyle name="Total 5 9 5" xfId="3457"/>
    <cellStyle name="Total 5 9 6" xfId="4499"/>
    <cellStyle name="Total 6" xfId="90"/>
    <cellStyle name="Total 6 10" xfId="611"/>
    <cellStyle name="Total 6 10 2" xfId="1655"/>
    <cellStyle name="Total 6 10 3" xfId="2697"/>
    <cellStyle name="Total 6 10 4" xfId="3739"/>
    <cellStyle name="Total 6 10 5" xfId="4781"/>
    <cellStyle name="Total 6 11" xfId="546"/>
    <cellStyle name="Total 6 11 2" xfId="1590"/>
    <cellStyle name="Total 6 11 3" xfId="2632"/>
    <cellStyle name="Total 6 11 4" xfId="3674"/>
    <cellStyle name="Total 6 11 5" xfId="4716"/>
    <cellStyle name="Total 6 12" xfId="1080"/>
    <cellStyle name="Total 6 12 2" xfId="2124"/>
    <cellStyle name="Total 6 12 3" xfId="3166"/>
    <cellStyle name="Total 6 12 4" xfId="4208"/>
    <cellStyle name="Total 6 12 5" xfId="5250"/>
    <cellStyle name="Total 6 13" xfId="1134"/>
    <cellStyle name="Total 6 14" xfId="2176"/>
    <cellStyle name="Total 6 15" xfId="3218"/>
    <cellStyle name="Total 6 16" xfId="4260"/>
    <cellStyle name="Total 6 2" xfId="184"/>
    <cellStyle name="Total 6 2 2" xfId="706"/>
    <cellStyle name="Total 6 2 2 2" xfId="1750"/>
    <cellStyle name="Total 6 2 2 3" xfId="2792"/>
    <cellStyle name="Total 6 2 2 4" xfId="3834"/>
    <cellStyle name="Total 6 2 2 5" xfId="4876"/>
    <cellStyle name="Total 6 2 3" xfId="1229"/>
    <cellStyle name="Total 6 2 4" xfId="2271"/>
    <cellStyle name="Total 6 2 5" xfId="3313"/>
    <cellStyle name="Total 6 2 6" xfId="4355"/>
    <cellStyle name="Total 6 3" xfId="137"/>
    <cellStyle name="Total 6 3 2" xfId="659"/>
    <cellStyle name="Total 6 3 2 2" xfId="1703"/>
    <cellStyle name="Total 6 3 2 3" xfId="2745"/>
    <cellStyle name="Total 6 3 2 4" xfId="3787"/>
    <cellStyle name="Total 6 3 2 5" xfId="4829"/>
    <cellStyle name="Total 6 3 3" xfId="1182"/>
    <cellStyle name="Total 6 3 4" xfId="2224"/>
    <cellStyle name="Total 6 3 5" xfId="3266"/>
    <cellStyle name="Total 6 3 6" xfId="4308"/>
    <cellStyle name="Total 6 4" xfId="270"/>
    <cellStyle name="Total 6 4 2" xfId="792"/>
    <cellStyle name="Total 6 4 2 2" xfId="1836"/>
    <cellStyle name="Total 6 4 2 3" xfId="2878"/>
    <cellStyle name="Total 6 4 2 4" xfId="3920"/>
    <cellStyle name="Total 6 4 2 5" xfId="4962"/>
    <cellStyle name="Total 6 4 3" xfId="1315"/>
    <cellStyle name="Total 6 4 4" xfId="2357"/>
    <cellStyle name="Total 6 4 5" xfId="3399"/>
    <cellStyle name="Total 6 4 6" xfId="4441"/>
    <cellStyle name="Total 6 5" xfId="126"/>
    <cellStyle name="Total 6 5 2" xfId="648"/>
    <cellStyle name="Total 6 5 2 2" xfId="1692"/>
    <cellStyle name="Total 6 5 2 3" xfId="2734"/>
    <cellStyle name="Total 6 5 2 4" xfId="3776"/>
    <cellStyle name="Total 6 5 2 5" xfId="4818"/>
    <cellStyle name="Total 6 5 3" xfId="1171"/>
    <cellStyle name="Total 6 5 4" xfId="2213"/>
    <cellStyle name="Total 6 5 5" xfId="3255"/>
    <cellStyle name="Total 6 5 6" xfId="4297"/>
    <cellStyle name="Total 6 6" xfId="400"/>
    <cellStyle name="Total 6 6 2" xfId="909"/>
    <cellStyle name="Total 6 6 2 2" xfId="1953"/>
    <cellStyle name="Total 6 6 2 3" xfId="2995"/>
    <cellStyle name="Total 6 6 2 4" xfId="4037"/>
    <cellStyle name="Total 6 6 2 5" xfId="5079"/>
    <cellStyle name="Total 6 6 3" xfId="1445"/>
    <cellStyle name="Total 6 6 4" xfId="2487"/>
    <cellStyle name="Total 6 6 5" xfId="3529"/>
    <cellStyle name="Total 6 6 6" xfId="4571"/>
    <cellStyle name="Total 6 7" xfId="472"/>
    <cellStyle name="Total 6 7 2" xfId="963"/>
    <cellStyle name="Total 6 7 2 2" xfId="2007"/>
    <cellStyle name="Total 6 7 2 3" xfId="3049"/>
    <cellStyle name="Total 6 7 2 4" xfId="4091"/>
    <cellStyle name="Total 6 7 2 5" xfId="5133"/>
    <cellStyle name="Total 6 7 3" xfId="1516"/>
    <cellStyle name="Total 6 7 4" xfId="2558"/>
    <cellStyle name="Total 6 7 5" xfId="3600"/>
    <cellStyle name="Total 6 7 6" xfId="4642"/>
    <cellStyle name="Total 6 8" xfId="501"/>
    <cellStyle name="Total 6 8 2" xfId="991"/>
    <cellStyle name="Total 6 8 2 2" xfId="2035"/>
    <cellStyle name="Total 6 8 2 3" xfId="3077"/>
    <cellStyle name="Total 6 8 2 4" xfId="4119"/>
    <cellStyle name="Total 6 8 2 5" xfId="5161"/>
    <cellStyle name="Total 6 8 3" xfId="1545"/>
    <cellStyle name="Total 6 8 4" xfId="2587"/>
    <cellStyle name="Total 6 8 5" xfId="3629"/>
    <cellStyle name="Total 6 8 6" xfId="4671"/>
    <cellStyle name="Total 6 9" xfId="330"/>
    <cellStyle name="Total 6 9 2" xfId="851"/>
    <cellStyle name="Total 6 9 2 2" xfId="1895"/>
    <cellStyle name="Total 6 9 2 3" xfId="2937"/>
    <cellStyle name="Total 6 9 2 4" xfId="3979"/>
    <cellStyle name="Total 6 9 2 5" xfId="5021"/>
    <cellStyle name="Total 6 9 3" xfId="1375"/>
    <cellStyle name="Total 6 9 4" xfId="2417"/>
    <cellStyle name="Total 6 9 5" xfId="3459"/>
    <cellStyle name="Total 6 9 6" xfId="4501"/>
    <cellStyle name="Total 7" xfId="97"/>
    <cellStyle name="Total 7 10" xfId="618"/>
    <cellStyle name="Total 7 10 2" xfId="1662"/>
    <cellStyle name="Total 7 10 3" xfId="2704"/>
    <cellStyle name="Total 7 10 4" xfId="3746"/>
    <cellStyle name="Total 7 10 5" xfId="4788"/>
    <cellStyle name="Total 7 11" xfId="567"/>
    <cellStyle name="Total 7 11 2" xfId="1611"/>
    <cellStyle name="Total 7 11 3" xfId="2653"/>
    <cellStyle name="Total 7 11 4" xfId="3695"/>
    <cellStyle name="Total 7 11 5" xfId="4737"/>
    <cellStyle name="Total 7 12" xfId="1087"/>
    <cellStyle name="Total 7 12 2" xfId="2131"/>
    <cellStyle name="Total 7 12 3" xfId="3173"/>
    <cellStyle name="Total 7 12 4" xfId="4215"/>
    <cellStyle name="Total 7 12 5" xfId="5257"/>
    <cellStyle name="Total 7 13" xfId="1141"/>
    <cellStyle name="Total 7 14" xfId="2183"/>
    <cellStyle name="Total 7 15" xfId="3225"/>
    <cellStyle name="Total 7 16" xfId="4267"/>
    <cellStyle name="Total 7 2" xfId="191"/>
    <cellStyle name="Total 7 2 2" xfId="713"/>
    <cellStyle name="Total 7 2 2 2" xfId="1757"/>
    <cellStyle name="Total 7 2 2 3" xfId="2799"/>
    <cellStyle name="Total 7 2 2 4" xfId="3841"/>
    <cellStyle name="Total 7 2 2 5" xfId="4883"/>
    <cellStyle name="Total 7 2 3" xfId="1236"/>
    <cellStyle name="Total 7 2 4" xfId="2278"/>
    <cellStyle name="Total 7 2 5" xfId="3320"/>
    <cellStyle name="Total 7 2 6" xfId="4362"/>
    <cellStyle name="Total 7 3" xfId="232"/>
    <cellStyle name="Total 7 3 2" xfId="754"/>
    <cellStyle name="Total 7 3 2 2" xfId="1798"/>
    <cellStyle name="Total 7 3 2 3" xfId="2840"/>
    <cellStyle name="Total 7 3 2 4" xfId="3882"/>
    <cellStyle name="Total 7 3 2 5" xfId="4924"/>
    <cellStyle name="Total 7 3 3" xfId="1277"/>
    <cellStyle name="Total 7 3 4" xfId="2319"/>
    <cellStyle name="Total 7 3 5" xfId="3361"/>
    <cellStyle name="Total 7 3 6" xfId="4403"/>
    <cellStyle name="Total 7 4" xfId="277"/>
    <cellStyle name="Total 7 4 2" xfId="799"/>
    <cellStyle name="Total 7 4 2 2" xfId="1843"/>
    <cellStyle name="Total 7 4 2 3" xfId="2885"/>
    <cellStyle name="Total 7 4 2 4" xfId="3927"/>
    <cellStyle name="Total 7 4 2 5" xfId="4969"/>
    <cellStyle name="Total 7 4 3" xfId="1322"/>
    <cellStyle name="Total 7 4 4" xfId="2364"/>
    <cellStyle name="Total 7 4 5" xfId="3406"/>
    <cellStyle name="Total 7 4 6" xfId="4448"/>
    <cellStyle name="Total 7 5" xfId="311"/>
    <cellStyle name="Total 7 5 2" xfId="833"/>
    <cellStyle name="Total 7 5 2 2" xfId="1877"/>
    <cellStyle name="Total 7 5 2 3" xfId="2919"/>
    <cellStyle name="Total 7 5 2 4" xfId="3961"/>
    <cellStyle name="Total 7 5 2 5" xfId="5003"/>
    <cellStyle name="Total 7 5 3" xfId="1356"/>
    <cellStyle name="Total 7 5 4" xfId="2398"/>
    <cellStyle name="Total 7 5 5" xfId="3440"/>
    <cellStyle name="Total 7 5 6" xfId="4482"/>
    <cellStyle name="Total 7 6" xfId="407"/>
    <cellStyle name="Total 7 6 2" xfId="916"/>
    <cellStyle name="Total 7 6 2 2" xfId="1960"/>
    <cellStyle name="Total 7 6 2 3" xfId="3002"/>
    <cellStyle name="Total 7 6 2 4" xfId="4044"/>
    <cellStyle name="Total 7 6 2 5" xfId="5086"/>
    <cellStyle name="Total 7 6 3" xfId="1452"/>
    <cellStyle name="Total 7 6 4" xfId="2494"/>
    <cellStyle name="Total 7 6 5" xfId="3536"/>
    <cellStyle name="Total 7 6 6" xfId="4578"/>
    <cellStyle name="Total 7 7" xfId="350"/>
    <cellStyle name="Total 7 7 2" xfId="868"/>
    <cellStyle name="Total 7 7 2 2" xfId="1912"/>
    <cellStyle name="Total 7 7 2 3" xfId="2954"/>
    <cellStyle name="Total 7 7 2 4" xfId="3996"/>
    <cellStyle name="Total 7 7 2 5" xfId="5038"/>
    <cellStyle name="Total 7 7 3" xfId="1395"/>
    <cellStyle name="Total 7 7 4" xfId="2437"/>
    <cellStyle name="Total 7 7 5" xfId="3479"/>
    <cellStyle name="Total 7 7 6" xfId="4521"/>
    <cellStyle name="Total 7 8" xfId="508"/>
    <cellStyle name="Total 7 8 2" xfId="998"/>
    <cellStyle name="Total 7 8 2 2" xfId="2042"/>
    <cellStyle name="Total 7 8 2 3" xfId="3084"/>
    <cellStyle name="Total 7 8 2 4" xfId="4126"/>
    <cellStyle name="Total 7 8 2 5" xfId="5168"/>
    <cellStyle name="Total 7 8 3" xfId="1552"/>
    <cellStyle name="Total 7 8 4" xfId="2594"/>
    <cellStyle name="Total 7 8 5" xfId="3636"/>
    <cellStyle name="Total 7 8 6" xfId="4678"/>
    <cellStyle name="Total 7 9" xfId="534"/>
    <cellStyle name="Total 7 9 2" xfId="1022"/>
    <cellStyle name="Total 7 9 2 2" xfId="2066"/>
    <cellStyle name="Total 7 9 2 3" xfId="3108"/>
    <cellStyle name="Total 7 9 2 4" xfId="4150"/>
    <cellStyle name="Total 7 9 2 5" xfId="5192"/>
    <cellStyle name="Total 7 9 3" xfId="1578"/>
    <cellStyle name="Total 7 9 4" xfId="2620"/>
    <cellStyle name="Total 7 9 5" xfId="3662"/>
    <cellStyle name="Total 7 9 6" xfId="4704"/>
    <cellStyle name="Total 8" xfId="96"/>
    <cellStyle name="Total 8 10" xfId="617"/>
    <cellStyle name="Total 8 10 2" xfId="1661"/>
    <cellStyle name="Total 8 10 3" xfId="2703"/>
    <cellStyle name="Total 8 10 4" xfId="3745"/>
    <cellStyle name="Total 8 10 5" xfId="4787"/>
    <cellStyle name="Total 8 11" xfId="331"/>
    <cellStyle name="Total 8 11 2" xfId="1376"/>
    <cellStyle name="Total 8 11 3" xfId="2418"/>
    <cellStyle name="Total 8 11 4" xfId="3460"/>
    <cellStyle name="Total 8 11 5" xfId="4502"/>
    <cellStyle name="Total 8 12" xfId="1086"/>
    <cellStyle name="Total 8 12 2" xfId="2130"/>
    <cellStyle name="Total 8 12 3" xfId="3172"/>
    <cellStyle name="Total 8 12 4" xfId="4214"/>
    <cellStyle name="Total 8 12 5" xfId="5256"/>
    <cellStyle name="Total 8 13" xfId="1140"/>
    <cellStyle name="Total 8 14" xfId="2182"/>
    <cellStyle name="Total 8 15" xfId="3224"/>
    <cellStyle name="Total 8 16" xfId="4266"/>
    <cellStyle name="Total 8 2" xfId="190"/>
    <cellStyle name="Total 8 2 2" xfId="712"/>
    <cellStyle name="Total 8 2 2 2" xfId="1756"/>
    <cellStyle name="Total 8 2 2 3" xfId="2798"/>
    <cellStyle name="Total 8 2 2 4" xfId="3840"/>
    <cellStyle name="Total 8 2 2 5" xfId="4882"/>
    <cellStyle name="Total 8 2 3" xfId="1235"/>
    <cellStyle name="Total 8 2 4" xfId="2277"/>
    <cellStyle name="Total 8 2 5" xfId="3319"/>
    <cellStyle name="Total 8 2 6" xfId="4361"/>
    <cellStyle name="Total 8 3" xfId="216"/>
    <cellStyle name="Total 8 3 2" xfId="738"/>
    <cellStyle name="Total 8 3 2 2" xfId="1782"/>
    <cellStyle name="Total 8 3 2 3" xfId="2824"/>
    <cellStyle name="Total 8 3 2 4" xfId="3866"/>
    <cellStyle name="Total 8 3 2 5" xfId="4908"/>
    <cellStyle name="Total 8 3 3" xfId="1261"/>
    <cellStyle name="Total 8 3 4" xfId="2303"/>
    <cellStyle name="Total 8 3 5" xfId="3345"/>
    <cellStyle name="Total 8 3 6" xfId="4387"/>
    <cellStyle name="Total 8 4" xfId="276"/>
    <cellStyle name="Total 8 4 2" xfId="798"/>
    <cellStyle name="Total 8 4 2 2" xfId="1842"/>
    <cellStyle name="Total 8 4 2 3" xfId="2884"/>
    <cellStyle name="Total 8 4 2 4" xfId="3926"/>
    <cellStyle name="Total 8 4 2 5" xfId="4968"/>
    <cellStyle name="Total 8 4 3" xfId="1321"/>
    <cellStyle name="Total 8 4 4" xfId="2363"/>
    <cellStyle name="Total 8 4 5" xfId="3405"/>
    <cellStyle name="Total 8 4 6" xfId="4447"/>
    <cellStyle name="Total 8 5" xfId="147"/>
    <cellStyle name="Total 8 5 2" xfId="669"/>
    <cellStyle name="Total 8 5 2 2" xfId="1713"/>
    <cellStyle name="Total 8 5 2 3" xfId="2755"/>
    <cellStyle name="Total 8 5 2 4" xfId="3797"/>
    <cellStyle name="Total 8 5 2 5" xfId="4839"/>
    <cellStyle name="Total 8 5 3" xfId="1192"/>
    <cellStyle name="Total 8 5 4" xfId="2234"/>
    <cellStyle name="Total 8 5 5" xfId="3276"/>
    <cellStyle name="Total 8 5 6" xfId="4318"/>
    <cellStyle name="Total 8 6" xfId="406"/>
    <cellStyle name="Total 8 6 2" xfId="915"/>
    <cellStyle name="Total 8 6 2 2" xfId="1959"/>
    <cellStyle name="Total 8 6 2 3" xfId="3001"/>
    <cellStyle name="Total 8 6 2 4" xfId="4043"/>
    <cellStyle name="Total 8 6 2 5" xfId="5085"/>
    <cellStyle name="Total 8 6 3" xfId="1451"/>
    <cellStyle name="Total 8 6 4" xfId="2493"/>
    <cellStyle name="Total 8 6 5" xfId="3535"/>
    <cellStyle name="Total 8 6 6" xfId="4577"/>
    <cellStyle name="Total 8 7" xfId="365"/>
    <cellStyle name="Total 8 7 2" xfId="882"/>
    <cellStyle name="Total 8 7 2 2" xfId="1926"/>
    <cellStyle name="Total 8 7 2 3" xfId="2968"/>
    <cellStyle name="Total 8 7 2 4" xfId="4010"/>
    <cellStyle name="Total 8 7 2 5" xfId="5052"/>
    <cellStyle name="Total 8 7 3" xfId="1410"/>
    <cellStyle name="Total 8 7 4" xfId="2452"/>
    <cellStyle name="Total 8 7 5" xfId="3494"/>
    <cellStyle name="Total 8 7 6" xfId="4536"/>
    <cellStyle name="Total 8 8" xfId="507"/>
    <cellStyle name="Total 8 8 2" xfId="997"/>
    <cellStyle name="Total 8 8 2 2" xfId="2041"/>
    <cellStyle name="Total 8 8 2 3" xfId="3083"/>
    <cellStyle name="Total 8 8 2 4" xfId="4125"/>
    <cellStyle name="Total 8 8 2 5" xfId="5167"/>
    <cellStyle name="Total 8 8 3" xfId="1551"/>
    <cellStyle name="Total 8 8 4" xfId="2593"/>
    <cellStyle name="Total 8 8 5" xfId="3635"/>
    <cellStyle name="Total 8 8 6" xfId="4677"/>
    <cellStyle name="Total 8 9" xfId="550"/>
    <cellStyle name="Total 8 9 2" xfId="1032"/>
    <cellStyle name="Total 8 9 2 2" xfId="2076"/>
    <cellStyle name="Total 8 9 2 3" xfId="3118"/>
    <cellStyle name="Total 8 9 2 4" xfId="4160"/>
    <cellStyle name="Total 8 9 2 5" xfId="5202"/>
    <cellStyle name="Total 8 9 3" xfId="1594"/>
    <cellStyle name="Total 8 9 4" xfId="2636"/>
    <cellStyle name="Total 8 9 5" xfId="3678"/>
    <cellStyle name="Total 8 9 6" xfId="4720"/>
    <cellStyle name="Total 9" xfId="103"/>
    <cellStyle name="Total 9 10" xfId="624"/>
    <cellStyle name="Total 9 10 2" xfId="1668"/>
    <cellStyle name="Total 9 10 3" xfId="2710"/>
    <cellStyle name="Total 9 10 4" xfId="3752"/>
    <cellStyle name="Total 9 10 5" xfId="4794"/>
    <cellStyle name="Total 9 11" xfId="531"/>
    <cellStyle name="Total 9 11 2" xfId="1575"/>
    <cellStyle name="Total 9 11 3" xfId="2617"/>
    <cellStyle name="Total 9 11 4" xfId="3659"/>
    <cellStyle name="Total 9 11 5" xfId="4701"/>
    <cellStyle name="Total 9 12" xfId="1093"/>
    <cellStyle name="Total 9 12 2" xfId="2137"/>
    <cellStyle name="Total 9 12 3" xfId="3179"/>
    <cellStyle name="Total 9 12 4" xfId="4221"/>
    <cellStyle name="Total 9 12 5" xfId="5263"/>
    <cellStyle name="Total 9 13" xfId="1147"/>
    <cellStyle name="Total 9 14" xfId="2189"/>
    <cellStyle name="Total 9 15" xfId="3231"/>
    <cellStyle name="Total 9 16" xfId="4273"/>
    <cellStyle name="Total 9 2" xfId="197"/>
    <cellStyle name="Total 9 2 2" xfId="719"/>
    <cellStyle name="Total 9 2 2 2" xfId="1763"/>
    <cellStyle name="Total 9 2 2 3" xfId="2805"/>
    <cellStyle name="Total 9 2 2 4" xfId="3847"/>
    <cellStyle name="Total 9 2 2 5" xfId="4889"/>
    <cellStyle name="Total 9 2 3" xfId="1242"/>
    <cellStyle name="Total 9 2 4" xfId="2284"/>
    <cellStyle name="Total 9 2 5" xfId="3326"/>
    <cellStyle name="Total 9 2 6" xfId="4368"/>
    <cellStyle name="Total 9 3" xfId="125"/>
    <cellStyle name="Total 9 3 2" xfId="647"/>
    <cellStyle name="Total 9 3 2 2" xfId="1691"/>
    <cellStyle name="Total 9 3 2 3" xfId="2733"/>
    <cellStyle name="Total 9 3 2 4" xfId="3775"/>
    <cellStyle name="Total 9 3 2 5" xfId="4817"/>
    <cellStyle name="Total 9 3 3" xfId="1170"/>
    <cellStyle name="Total 9 3 4" xfId="2212"/>
    <cellStyle name="Total 9 3 5" xfId="3254"/>
    <cellStyle name="Total 9 3 6" xfId="4296"/>
    <cellStyle name="Total 9 4" xfId="283"/>
    <cellStyle name="Total 9 4 2" xfId="805"/>
    <cellStyle name="Total 9 4 2 2" xfId="1849"/>
    <cellStyle name="Total 9 4 2 3" xfId="2891"/>
    <cellStyle name="Total 9 4 2 4" xfId="3933"/>
    <cellStyle name="Total 9 4 2 5" xfId="4975"/>
    <cellStyle name="Total 9 4 3" xfId="1328"/>
    <cellStyle name="Total 9 4 4" xfId="2370"/>
    <cellStyle name="Total 9 4 5" xfId="3412"/>
    <cellStyle name="Total 9 4 6" xfId="4454"/>
    <cellStyle name="Total 9 5" xfId="154"/>
    <cellStyle name="Total 9 5 2" xfId="676"/>
    <cellStyle name="Total 9 5 2 2" xfId="1720"/>
    <cellStyle name="Total 9 5 2 3" xfId="2762"/>
    <cellStyle name="Total 9 5 2 4" xfId="3804"/>
    <cellStyle name="Total 9 5 2 5" xfId="4846"/>
    <cellStyle name="Total 9 5 3" xfId="1199"/>
    <cellStyle name="Total 9 5 4" xfId="2241"/>
    <cellStyle name="Total 9 5 5" xfId="3283"/>
    <cellStyle name="Total 9 5 6" xfId="4325"/>
    <cellStyle name="Total 9 6" xfId="413"/>
    <cellStyle name="Total 9 6 2" xfId="922"/>
    <cellStyle name="Total 9 6 2 2" xfId="1966"/>
    <cellStyle name="Total 9 6 2 3" xfId="3008"/>
    <cellStyle name="Total 9 6 2 4" xfId="4050"/>
    <cellStyle name="Total 9 6 2 5" xfId="5092"/>
    <cellStyle name="Total 9 6 3" xfId="1458"/>
    <cellStyle name="Total 9 6 4" xfId="2500"/>
    <cellStyle name="Total 9 6 5" xfId="3542"/>
    <cellStyle name="Total 9 6 6" xfId="4584"/>
    <cellStyle name="Total 9 7" xfId="356"/>
    <cellStyle name="Total 9 7 2" xfId="874"/>
    <cellStyle name="Total 9 7 2 2" xfId="1918"/>
    <cellStyle name="Total 9 7 2 3" xfId="2960"/>
    <cellStyle name="Total 9 7 2 4" xfId="4002"/>
    <cellStyle name="Total 9 7 2 5" xfId="5044"/>
    <cellStyle name="Total 9 7 3" xfId="1401"/>
    <cellStyle name="Total 9 7 4" xfId="2443"/>
    <cellStyle name="Total 9 7 5" xfId="3485"/>
    <cellStyle name="Total 9 7 6" xfId="4527"/>
    <cellStyle name="Total 9 8" xfId="514"/>
    <cellStyle name="Total 9 8 2" xfId="1004"/>
    <cellStyle name="Total 9 8 2 2" xfId="2048"/>
    <cellStyle name="Total 9 8 2 3" xfId="3090"/>
    <cellStyle name="Total 9 8 2 4" xfId="4132"/>
    <cellStyle name="Total 9 8 2 5" xfId="5174"/>
    <cellStyle name="Total 9 8 3" xfId="1558"/>
    <cellStyle name="Total 9 8 4" xfId="2600"/>
    <cellStyle name="Total 9 8 5" xfId="3642"/>
    <cellStyle name="Total 9 8 6" xfId="4684"/>
    <cellStyle name="Total 9 9" xfId="565"/>
    <cellStyle name="Total 9 9 2" xfId="1043"/>
    <cellStyle name="Total 9 9 2 2" xfId="2087"/>
    <cellStyle name="Total 9 9 2 3" xfId="3129"/>
    <cellStyle name="Total 9 9 2 4" xfId="4171"/>
    <cellStyle name="Total 9 9 2 5" xfId="5213"/>
    <cellStyle name="Total 9 9 3" xfId="1609"/>
    <cellStyle name="Total 9 9 4" xfId="2651"/>
    <cellStyle name="Total 9 9 5" xfId="3693"/>
    <cellStyle name="Total 9 9 6" xfId="4735"/>
    <cellStyle name="Warning Text 2" xfId="6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9966FF"/>
      <color rgb="FF060EAA"/>
      <color rgb="FF03417F"/>
      <color rgb="FF045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685798</xdr:colOff>
      <xdr:row>1</xdr:row>
      <xdr:rowOff>1</xdr:rowOff>
    </xdr:from>
    <xdr:to>
      <xdr:col>1</xdr:col>
      <xdr:colOff>1504949</xdr:colOff>
      <xdr:row>3</xdr:row>
      <xdr:rowOff>642939</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8" y="180976"/>
          <a:ext cx="1619251" cy="100488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interim-frameworks-for-teacher-assessment-at-the-end-of-key-stage-2"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interim-frameworks-for-teacher-assessment-at-the-end-of-key-stage-2" TargetMode="External"/><Relationship Id="rId1" Type="http://schemas.openxmlformats.org/officeDocument/2006/relationships/hyperlink" Target="https://www.gov.uk/government/publications/primary-school-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2"/>
  <sheetViews>
    <sheetView showGridLines="0" tabSelected="1" workbookViewId="0"/>
  </sheetViews>
  <sheetFormatPr defaultColWidth="8.85546875" defaultRowHeight="14.25" x14ac:dyDescent="0.2"/>
  <cols>
    <col min="1" max="1" width="11.140625" style="11" customWidth="1"/>
    <col min="2" max="2" width="65" style="11" customWidth="1"/>
    <col min="3" max="3" width="2.7109375" style="11" customWidth="1"/>
    <col min="4" max="16384" width="8.85546875" style="11"/>
  </cols>
  <sheetData>
    <row r="1" spans="1:10" s="1" customFormat="1" ht="15" x14ac:dyDescent="0.25">
      <c r="A1" s="327"/>
    </row>
    <row r="2" spans="1:10" s="1" customFormat="1" ht="15" x14ac:dyDescent="0.25"/>
    <row r="3" spans="1:10" s="1" customFormat="1" ht="15" x14ac:dyDescent="0.25"/>
    <row r="4" spans="1:10" s="1" customFormat="1" ht="63" customHeight="1" x14ac:dyDescent="0.25"/>
    <row r="5" spans="1:10" s="2" customFormat="1" ht="31.5" x14ac:dyDescent="0.5">
      <c r="B5" s="3" t="s">
        <v>0</v>
      </c>
    </row>
    <row r="6" spans="1:10" s="4" customFormat="1" ht="15.75" x14ac:dyDescent="0.25"/>
    <row r="7" spans="1:10" s="5" customFormat="1" ht="15" x14ac:dyDescent="0.25">
      <c r="B7" s="5" t="s">
        <v>1</v>
      </c>
      <c r="C7" s="6" t="s">
        <v>2</v>
      </c>
    </row>
    <row r="8" spans="1:10" s="5" customFormat="1" ht="15" x14ac:dyDescent="0.25">
      <c r="B8" s="5" t="s">
        <v>3</v>
      </c>
      <c r="C8" s="7" t="s">
        <v>4</v>
      </c>
    </row>
    <row r="9" spans="1:10" s="5" customFormat="1" ht="23.25" x14ac:dyDescent="0.35">
      <c r="B9" s="8" t="s">
        <v>5</v>
      </c>
    </row>
    <row r="10" spans="1:10" s="5" customFormat="1" ht="15" x14ac:dyDescent="0.25">
      <c r="B10" s="5" t="s">
        <v>6</v>
      </c>
      <c r="C10" s="5" t="s">
        <v>7</v>
      </c>
    </row>
    <row r="11" spans="1:10" s="5" customFormat="1" ht="15" x14ac:dyDescent="0.25">
      <c r="B11" s="5" t="s">
        <v>8</v>
      </c>
      <c r="C11" t="s">
        <v>9</v>
      </c>
    </row>
    <row r="12" spans="1:10" s="5" customFormat="1" ht="15" x14ac:dyDescent="0.25">
      <c r="B12" s="5" t="s">
        <v>10</v>
      </c>
      <c r="C12" s="9" t="s">
        <v>84</v>
      </c>
    </row>
    <row r="14" spans="1:10" x14ac:dyDescent="0.2">
      <c r="B14" s="329" t="s">
        <v>189</v>
      </c>
      <c r="C14" s="330"/>
      <c r="D14" s="330"/>
      <c r="E14" s="330"/>
      <c r="F14" s="330"/>
      <c r="G14" s="330"/>
      <c r="H14" s="330"/>
      <c r="I14" s="330"/>
      <c r="J14" s="330"/>
    </row>
    <row r="15" spans="1:10" x14ac:dyDescent="0.2">
      <c r="B15" s="330"/>
      <c r="C15" s="330"/>
      <c r="D15" s="330"/>
      <c r="E15" s="330"/>
      <c r="F15" s="330"/>
      <c r="G15" s="330"/>
      <c r="H15" s="330"/>
      <c r="I15" s="330"/>
      <c r="J15" s="330"/>
    </row>
    <row r="16" spans="1:10" x14ac:dyDescent="0.2">
      <c r="B16" s="330"/>
      <c r="C16" s="330"/>
      <c r="D16" s="330"/>
      <c r="E16" s="330"/>
      <c r="F16" s="330"/>
      <c r="G16" s="330"/>
      <c r="H16" s="330"/>
      <c r="I16" s="330"/>
      <c r="J16" s="330"/>
    </row>
    <row r="17" spans="1:11" x14ac:dyDescent="0.2">
      <c r="B17" s="330"/>
      <c r="C17" s="330"/>
      <c r="D17" s="330"/>
      <c r="E17" s="330"/>
      <c r="F17" s="330"/>
      <c r="G17" s="330"/>
      <c r="H17" s="330"/>
      <c r="I17" s="330"/>
      <c r="J17" s="330"/>
    </row>
    <row r="19" spans="1:11" ht="15" x14ac:dyDescent="0.25">
      <c r="A19" s="10" t="s">
        <v>11</v>
      </c>
    </row>
    <row r="20" spans="1:11" ht="15" x14ac:dyDescent="0.25">
      <c r="A20" s="10"/>
    </row>
    <row r="21" spans="1:11" x14ac:dyDescent="0.2">
      <c r="A21" s="12" t="s">
        <v>104</v>
      </c>
      <c r="B21" s="331" t="s">
        <v>179</v>
      </c>
      <c r="C21" s="328"/>
      <c r="D21" s="328"/>
      <c r="E21" s="328"/>
      <c r="F21" s="328"/>
      <c r="G21" s="328"/>
      <c r="H21" s="328"/>
      <c r="I21" s="328"/>
      <c r="J21" s="328"/>
      <c r="K21" s="328"/>
    </row>
    <row r="22" spans="1:11" x14ac:dyDescent="0.2">
      <c r="A22" s="13"/>
      <c r="B22" s="328"/>
      <c r="C22" s="328"/>
      <c r="D22" s="328"/>
      <c r="E22" s="328"/>
      <c r="F22" s="328"/>
      <c r="G22" s="328"/>
      <c r="H22" s="328"/>
      <c r="I22" s="328"/>
      <c r="J22" s="328"/>
      <c r="K22" s="328"/>
    </row>
    <row r="23" spans="1:11" x14ac:dyDescent="0.2">
      <c r="A23" s="12" t="s">
        <v>105</v>
      </c>
      <c r="B23" s="331" t="s">
        <v>180</v>
      </c>
      <c r="C23" s="328"/>
      <c r="D23" s="328"/>
      <c r="E23" s="328"/>
      <c r="F23" s="328"/>
      <c r="G23" s="328"/>
      <c r="H23" s="328"/>
      <c r="I23" s="328"/>
      <c r="J23" s="328"/>
      <c r="K23" s="328"/>
    </row>
    <row r="24" spans="1:11" x14ac:dyDescent="0.2">
      <c r="A24" s="12"/>
      <c r="B24" s="328"/>
      <c r="C24" s="328"/>
      <c r="D24" s="328"/>
      <c r="E24" s="328"/>
      <c r="F24" s="328"/>
      <c r="G24" s="328"/>
      <c r="H24" s="328"/>
      <c r="I24" s="328"/>
      <c r="J24" s="328"/>
      <c r="K24" s="328"/>
    </row>
    <row r="25" spans="1:11" x14ac:dyDescent="0.2">
      <c r="A25" s="12" t="s">
        <v>106</v>
      </c>
      <c r="B25" s="328" t="s">
        <v>181</v>
      </c>
      <c r="C25" s="328"/>
      <c r="D25" s="328"/>
      <c r="E25" s="328"/>
      <c r="F25" s="328"/>
      <c r="G25" s="328"/>
      <c r="H25" s="328"/>
      <c r="I25" s="328"/>
      <c r="J25" s="328"/>
      <c r="K25" s="328"/>
    </row>
    <row r="26" spans="1:11" x14ac:dyDescent="0.2">
      <c r="A26" s="13"/>
      <c r="B26" s="328"/>
      <c r="C26" s="328"/>
      <c r="D26" s="328"/>
      <c r="E26" s="328"/>
      <c r="F26" s="328"/>
      <c r="G26" s="328"/>
      <c r="H26" s="328"/>
      <c r="I26" s="328"/>
      <c r="J26" s="328"/>
      <c r="K26" s="328"/>
    </row>
    <row r="27" spans="1:11" x14ac:dyDescent="0.2">
      <c r="A27" s="12" t="s">
        <v>107</v>
      </c>
      <c r="B27" s="328" t="s">
        <v>182</v>
      </c>
      <c r="C27" s="328"/>
      <c r="D27" s="328"/>
      <c r="E27" s="328"/>
      <c r="F27" s="328"/>
      <c r="G27" s="328"/>
      <c r="H27" s="328"/>
      <c r="I27" s="328"/>
      <c r="J27" s="328"/>
      <c r="K27" s="328"/>
    </row>
    <row r="28" spans="1:11" x14ac:dyDescent="0.2">
      <c r="A28" s="12"/>
      <c r="B28" s="328"/>
      <c r="C28" s="328"/>
      <c r="D28" s="328"/>
      <c r="E28" s="328"/>
      <c r="F28" s="328"/>
      <c r="G28" s="328"/>
      <c r="H28" s="328"/>
      <c r="I28" s="328"/>
      <c r="J28" s="328"/>
      <c r="K28" s="328"/>
    </row>
    <row r="29" spans="1:11" x14ac:dyDescent="0.2">
      <c r="A29" s="12" t="s">
        <v>108</v>
      </c>
      <c r="B29" s="328" t="s">
        <v>183</v>
      </c>
      <c r="C29" s="328"/>
      <c r="D29" s="328"/>
      <c r="E29" s="328"/>
      <c r="F29" s="328"/>
      <c r="G29" s="328"/>
      <c r="H29" s="328"/>
      <c r="I29" s="328"/>
      <c r="J29" s="328"/>
      <c r="K29" s="328"/>
    </row>
    <row r="30" spans="1:11" x14ac:dyDescent="0.2">
      <c r="A30" s="12"/>
      <c r="B30" s="328"/>
      <c r="C30" s="328"/>
      <c r="D30" s="328"/>
      <c r="E30" s="328"/>
      <c r="F30" s="328"/>
      <c r="G30" s="328"/>
      <c r="H30" s="328"/>
      <c r="I30" s="328"/>
      <c r="J30" s="328"/>
      <c r="K30" s="328"/>
    </row>
    <row r="31" spans="1:11" x14ac:dyDescent="0.2">
      <c r="A31" s="12" t="s">
        <v>109</v>
      </c>
      <c r="B31" s="328" t="s">
        <v>184</v>
      </c>
      <c r="C31" s="328"/>
      <c r="D31" s="328"/>
      <c r="E31" s="328"/>
      <c r="F31" s="328"/>
      <c r="G31" s="328"/>
      <c r="H31" s="328"/>
      <c r="I31" s="328"/>
      <c r="J31" s="328"/>
      <c r="K31" s="328"/>
    </row>
    <row r="32" spans="1:11" x14ac:dyDescent="0.2">
      <c r="A32" s="12"/>
      <c r="B32" s="328"/>
      <c r="C32" s="328"/>
      <c r="D32" s="328"/>
      <c r="E32" s="328"/>
      <c r="F32" s="328"/>
      <c r="G32" s="328"/>
      <c r="H32" s="328"/>
      <c r="I32" s="328"/>
      <c r="J32" s="328"/>
      <c r="K32" s="328"/>
    </row>
  </sheetData>
  <sheetProtection algorithmName="SHA-512" hashValue="V1CM6yq2JcnzpZzKf9jpbnI2nukMc1ZGhFkLk/CkQrlGvZqpsSbBfEaOjLlLk6coW7eu4SwEhuHIQFc7NYTf4w==" saltValue="//1qRAs4vT9KQjLbCnvNHg==" spinCount="100000" sheet="1" objects="1" scenarios="1"/>
  <mergeCells count="7">
    <mergeCell ref="B29:K30"/>
    <mergeCell ref="B31:K32"/>
    <mergeCell ref="B14:J17"/>
    <mergeCell ref="B21:K22"/>
    <mergeCell ref="B23:K24"/>
    <mergeCell ref="B25:K26"/>
    <mergeCell ref="B27:K28"/>
  </mergeCells>
  <hyperlinks>
    <hyperlink ref="A21" location="'Table A1'!A1" display="Table A1"/>
    <hyperlink ref="A23" location="'Table A2'!A1" display="Table A2"/>
    <hyperlink ref="A27" location="'Table B2'!A1" display="Table B2"/>
    <hyperlink ref="C7" r:id="rId1"/>
    <hyperlink ref="C12" r:id="rId2"/>
    <hyperlink ref="A25" location="'Table B1'!A1" display="Table B1"/>
    <hyperlink ref="A29" location="'Table B3'!A1" display="Table B3"/>
    <hyperlink ref="A31" location="'Table B4'!A1" display="Table B4"/>
  </hyperlinks>
  <pageMargins left="0.7" right="0.7" top="0.75" bottom="0.75" header="0.3" footer="0.3"/>
  <pageSetup paperSize="9" scale="8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O61"/>
  <sheetViews>
    <sheetView workbookViewId="0">
      <selection activeCell="C14" sqref="C14"/>
    </sheetView>
  </sheetViews>
  <sheetFormatPr defaultColWidth="9.140625" defaultRowHeight="15" x14ac:dyDescent="0.25"/>
  <cols>
    <col min="1" max="1" width="23.28515625" style="119" bestFit="1" customWidth="1"/>
    <col min="2" max="16384" width="9.140625" style="119"/>
  </cols>
  <sheetData>
    <row r="1" spans="1:67" ht="23.25" x14ac:dyDescent="0.35">
      <c r="A1" s="81" t="s">
        <v>89</v>
      </c>
      <c r="B1" s="361" t="s">
        <v>54</v>
      </c>
      <c r="C1" s="361"/>
      <c r="D1" s="361"/>
      <c r="E1" s="361"/>
      <c r="F1" s="361"/>
      <c r="G1" s="361"/>
      <c r="H1" s="361"/>
      <c r="I1" s="361"/>
      <c r="J1" s="361"/>
      <c r="K1" s="361"/>
      <c r="L1" s="361"/>
      <c r="M1" s="361"/>
      <c r="N1" s="361"/>
      <c r="O1" s="361"/>
      <c r="P1" s="361"/>
      <c r="Q1" s="361"/>
      <c r="R1" s="361"/>
      <c r="S1" s="361"/>
      <c r="T1" s="361"/>
      <c r="U1" s="361"/>
      <c r="V1" s="361"/>
      <c r="W1" s="361"/>
      <c r="X1" s="361" t="s">
        <v>53</v>
      </c>
      <c r="Y1" s="361"/>
      <c r="Z1" s="361"/>
      <c r="AA1" s="361"/>
      <c r="AB1" s="361"/>
      <c r="AC1" s="361"/>
      <c r="AD1" s="361"/>
      <c r="AE1" s="361"/>
      <c r="AF1" s="361"/>
      <c r="AG1" s="361"/>
      <c r="AH1" s="361"/>
      <c r="AI1" s="361"/>
      <c r="AJ1" s="361"/>
      <c r="AK1" s="361"/>
      <c r="AL1" s="361"/>
      <c r="AM1" s="361"/>
      <c r="AN1" s="361"/>
      <c r="AO1" s="361"/>
      <c r="AP1" s="361"/>
      <c r="AQ1" s="361"/>
      <c r="AR1" s="361"/>
      <c r="AS1" s="361"/>
      <c r="AT1" s="361" t="s">
        <v>69</v>
      </c>
      <c r="AU1" s="361"/>
      <c r="AV1" s="361"/>
      <c r="AW1" s="361"/>
      <c r="AX1" s="361"/>
      <c r="AY1" s="361"/>
      <c r="AZ1" s="361"/>
      <c r="BA1" s="361"/>
      <c r="BB1" s="361"/>
      <c r="BC1" s="361"/>
      <c r="BD1" s="361"/>
      <c r="BE1" s="361"/>
      <c r="BF1" s="361"/>
      <c r="BG1" s="361"/>
      <c r="BH1" s="361"/>
      <c r="BI1" s="361"/>
      <c r="BJ1" s="361"/>
      <c r="BK1" s="361"/>
      <c r="BL1" s="361"/>
      <c r="BM1" s="361"/>
      <c r="BN1" s="361"/>
      <c r="BO1" s="361"/>
    </row>
    <row r="2" spans="1:67" ht="15" customHeight="1" x14ac:dyDescent="0.25">
      <c r="A2" s="362" t="s">
        <v>70</v>
      </c>
      <c r="B2" s="191"/>
      <c r="C2" s="121"/>
      <c r="D2" s="360" t="s">
        <v>40</v>
      </c>
      <c r="E2" s="360"/>
      <c r="F2" s="360"/>
      <c r="G2" s="363"/>
      <c r="H2" s="360"/>
      <c r="I2" s="360" t="s">
        <v>25</v>
      </c>
      <c r="J2" s="360"/>
      <c r="K2" s="360"/>
      <c r="L2" s="360"/>
      <c r="M2" s="360"/>
      <c r="N2" s="360" t="s">
        <v>71</v>
      </c>
      <c r="O2" s="360"/>
      <c r="P2" s="360"/>
      <c r="Q2" s="360"/>
      <c r="R2" s="360"/>
      <c r="S2" s="360" t="s">
        <v>72</v>
      </c>
      <c r="T2" s="360"/>
      <c r="U2" s="360"/>
      <c r="V2" s="360"/>
      <c r="W2" s="360"/>
      <c r="X2" s="120"/>
      <c r="Y2" s="121"/>
      <c r="Z2" s="360" t="s">
        <v>40</v>
      </c>
      <c r="AA2" s="360"/>
      <c r="AB2" s="360"/>
      <c r="AC2" s="363"/>
      <c r="AD2" s="360"/>
      <c r="AE2" s="360" t="s">
        <v>25</v>
      </c>
      <c r="AF2" s="360"/>
      <c r="AG2" s="360"/>
      <c r="AH2" s="360"/>
      <c r="AI2" s="360"/>
      <c r="AJ2" s="360" t="s">
        <v>71</v>
      </c>
      <c r="AK2" s="360"/>
      <c r="AL2" s="360"/>
      <c r="AM2" s="360"/>
      <c r="AN2" s="360"/>
      <c r="AO2" s="360" t="s">
        <v>72</v>
      </c>
      <c r="AP2" s="360"/>
      <c r="AQ2" s="360"/>
      <c r="AR2" s="360"/>
      <c r="AS2" s="360"/>
      <c r="AT2" s="120"/>
      <c r="AU2" s="121"/>
      <c r="AV2" s="360" t="s">
        <v>40</v>
      </c>
      <c r="AW2" s="360"/>
      <c r="AX2" s="360"/>
      <c r="AY2" s="363"/>
      <c r="AZ2" s="360"/>
      <c r="BA2" s="360" t="s">
        <v>25</v>
      </c>
      <c r="BB2" s="360"/>
      <c r="BC2" s="360"/>
      <c r="BD2" s="360"/>
      <c r="BE2" s="360"/>
      <c r="BF2" s="360" t="s">
        <v>71</v>
      </c>
      <c r="BG2" s="360"/>
      <c r="BH2" s="360"/>
      <c r="BI2" s="360"/>
      <c r="BJ2" s="360"/>
      <c r="BK2" s="360" t="s">
        <v>72</v>
      </c>
      <c r="BL2" s="360"/>
      <c r="BM2" s="360"/>
      <c r="BN2" s="360"/>
      <c r="BO2" s="360"/>
    </row>
    <row r="3" spans="1:67" ht="45" customHeight="1" x14ac:dyDescent="0.25">
      <c r="A3" s="362"/>
      <c r="B3" s="122"/>
      <c r="C3" s="123"/>
      <c r="D3" s="124">
        <v>2012</v>
      </c>
      <c r="E3" s="124">
        <v>2013</v>
      </c>
      <c r="F3" s="124">
        <v>2014</v>
      </c>
      <c r="G3" s="124">
        <v>2015</v>
      </c>
      <c r="H3" s="124">
        <v>2016</v>
      </c>
      <c r="I3" s="124">
        <v>2012</v>
      </c>
      <c r="J3" s="124">
        <v>2013</v>
      </c>
      <c r="K3" s="124">
        <v>2014</v>
      </c>
      <c r="L3" s="124">
        <v>2015</v>
      </c>
      <c r="M3" s="124">
        <v>2016</v>
      </c>
      <c r="N3" s="124">
        <v>2012</v>
      </c>
      <c r="O3" s="124">
        <v>2013</v>
      </c>
      <c r="P3" s="124">
        <v>2014</v>
      </c>
      <c r="Q3" s="124">
        <v>2015</v>
      </c>
      <c r="R3" s="124">
        <v>2016</v>
      </c>
      <c r="S3" s="124">
        <v>2012</v>
      </c>
      <c r="T3" s="124">
        <v>2013</v>
      </c>
      <c r="U3" s="124">
        <v>2014</v>
      </c>
      <c r="V3" s="124">
        <v>2015</v>
      </c>
      <c r="W3" s="124">
        <v>2016</v>
      </c>
      <c r="X3" s="122"/>
      <c r="Y3" s="123"/>
      <c r="Z3" s="124">
        <v>2012</v>
      </c>
      <c r="AA3" s="124">
        <v>2013</v>
      </c>
      <c r="AB3" s="124">
        <v>2014</v>
      </c>
      <c r="AC3" s="124">
        <v>2015</v>
      </c>
      <c r="AD3" s="124">
        <v>2016</v>
      </c>
      <c r="AE3" s="124">
        <v>2012</v>
      </c>
      <c r="AF3" s="124">
        <v>2013</v>
      </c>
      <c r="AG3" s="124">
        <v>2014</v>
      </c>
      <c r="AH3" s="124">
        <v>2015</v>
      </c>
      <c r="AI3" s="124">
        <v>2016</v>
      </c>
      <c r="AJ3" s="124">
        <v>2012</v>
      </c>
      <c r="AK3" s="124">
        <v>2013</v>
      </c>
      <c r="AL3" s="124">
        <v>2014</v>
      </c>
      <c r="AM3" s="124">
        <v>2015</v>
      </c>
      <c r="AN3" s="124">
        <v>2016</v>
      </c>
      <c r="AO3" s="124">
        <v>2012</v>
      </c>
      <c r="AP3" s="124">
        <v>2013</v>
      </c>
      <c r="AQ3" s="124">
        <v>2014</v>
      </c>
      <c r="AR3" s="124">
        <v>2015</v>
      </c>
      <c r="AS3" s="124">
        <v>2016</v>
      </c>
      <c r="AT3" s="122"/>
      <c r="AU3" s="123"/>
      <c r="AV3" s="124">
        <v>2012</v>
      </c>
      <c r="AW3" s="124">
        <v>2013</v>
      </c>
      <c r="AX3" s="124">
        <v>2014</v>
      </c>
      <c r="AY3" s="124">
        <v>2015</v>
      </c>
      <c r="AZ3" s="124">
        <v>2016</v>
      </c>
      <c r="BA3" s="124">
        <v>2012</v>
      </c>
      <c r="BB3" s="124">
        <v>2013</v>
      </c>
      <c r="BC3" s="124">
        <v>2014</v>
      </c>
      <c r="BD3" s="124">
        <v>2015</v>
      </c>
      <c r="BE3" s="124">
        <v>2016</v>
      </c>
      <c r="BF3" s="124">
        <v>2012</v>
      </c>
      <c r="BG3" s="124">
        <v>2013</v>
      </c>
      <c r="BH3" s="124">
        <v>2014</v>
      </c>
      <c r="BI3" s="124">
        <v>2015</v>
      </c>
      <c r="BJ3" s="124">
        <v>2016</v>
      </c>
      <c r="BK3" s="125">
        <v>2012</v>
      </c>
      <c r="BL3" s="124">
        <v>2013</v>
      </c>
      <c r="BM3" s="124">
        <v>2014</v>
      </c>
      <c r="BN3" s="126">
        <v>2015</v>
      </c>
      <c r="BO3" s="126">
        <v>2016</v>
      </c>
    </row>
    <row r="4" spans="1:67" x14ac:dyDescent="0.25">
      <c r="A4" s="362"/>
      <c r="B4" s="127">
        <v>1</v>
      </c>
      <c r="C4" s="127">
        <v>2</v>
      </c>
      <c r="D4" s="127">
        <v>3</v>
      </c>
      <c r="E4" s="127">
        <v>4</v>
      </c>
      <c r="F4" s="127">
        <v>5</v>
      </c>
      <c r="G4" s="127">
        <v>6</v>
      </c>
      <c r="H4" s="127">
        <v>7</v>
      </c>
      <c r="I4" s="127">
        <v>8</v>
      </c>
      <c r="J4" s="127">
        <v>9</v>
      </c>
      <c r="K4" s="127">
        <v>10</v>
      </c>
      <c r="L4" s="127">
        <v>11</v>
      </c>
      <c r="M4" s="127">
        <v>12</v>
      </c>
      <c r="N4" s="127">
        <v>13</v>
      </c>
      <c r="O4" s="127">
        <v>14</v>
      </c>
      <c r="P4" s="127">
        <v>15</v>
      </c>
      <c r="Q4" s="127">
        <v>16</v>
      </c>
      <c r="R4" s="127">
        <v>17</v>
      </c>
      <c r="S4" s="127">
        <v>18</v>
      </c>
      <c r="T4" s="127">
        <v>19</v>
      </c>
      <c r="U4" s="127">
        <v>20</v>
      </c>
      <c r="V4" s="127">
        <v>21</v>
      </c>
      <c r="W4" s="127">
        <v>22</v>
      </c>
      <c r="X4" s="127">
        <v>23</v>
      </c>
      <c r="Y4" s="127">
        <v>24</v>
      </c>
      <c r="Z4" s="127">
        <v>25</v>
      </c>
      <c r="AA4" s="127">
        <v>26</v>
      </c>
      <c r="AB4" s="127">
        <v>27</v>
      </c>
      <c r="AC4" s="127">
        <v>28</v>
      </c>
      <c r="AD4" s="127">
        <v>29</v>
      </c>
      <c r="AE4" s="127">
        <v>30</v>
      </c>
      <c r="AF4" s="127">
        <v>31</v>
      </c>
      <c r="AG4" s="127">
        <v>32</v>
      </c>
      <c r="AH4" s="127">
        <v>33</v>
      </c>
      <c r="AI4" s="127">
        <v>34</v>
      </c>
      <c r="AJ4" s="127">
        <v>35</v>
      </c>
      <c r="AK4" s="127">
        <v>36</v>
      </c>
      <c r="AL4" s="127">
        <v>37</v>
      </c>
      <c r="AM4" s="127">
        <v>38</v>
      </c>
      <c r="AN4" s="127">
        <v>39</v>
      </c>
      <c r="AO4" s="127">
        <v>40</v>
      </c>
      <c r="AP4" s="127">
        <v>41</v>
      </c>
      <c r="AQ4" s="127">
        <v>42</v>
      </c>
      <c r="AR4" s="127">
        <v>43</v>
      </c>
      <c r="AS4" s="127">
        <v>44</v>
      </c>
      <c r="AT4" s="127">
        <v>45</v>
      </c>
      <c r="AU4" s="127">
        <v>46</v>
      </c>
      <c r="AV4" s="127">
        <v>47</v>
      </c>
      <c r="AW4" s="127">
        <v>48</v>
      </c>
      <c r="AX4" s="127">
        <v>49</v>
      </c>
      <c r="AY4" s="127">
        <v>50</v>
      </c>
      <c r="AZ4" s="127">
        <v>51</v>
      </c>
      <c r="BA4" s="127">
        <v>52</v>
      </c>
      <c r="BB4" s="127">
        <v>53</v>
      </c>
      <c r="BC4" s="127">
        <v>54</v>
      </c>
      <c r="BD4" s="127">
        <v>55</v>
      </c>
      <c r="BE4" s="127">
        <v>56</v>
      </c>
      <c r="BF4" s="127">
        <v>57</v>
      </c>
      <c r="BG4" s="127">
        <v>58</v>
      </c>
      <c r="BH4" s="127">
        <v>59</v>
      </c>
      <c r="BI4" s="127">
        <v>60</v>
      </c>
      <c r="BJ4" s="127">
        <v>61</v>
      </c>
      <c r="BK4" s="127">
        <v>62</v>
      </c>
      <c r="BL4" s="127">
        <v>63</v>
      </c>
      <c r="BM4" s="127">
        <v>64</v>
      </c>
      <c r="BN4" s="127">
        <v>65</v>
      </c>
      <c r="BO4" s="127">
        <v>66</v>
      </c>
    </row>
    <row r="5" spans="1:67" x14ac:dyDescent="0.25">
      <c r="A5" s="362"/>
      <c r="B5" s="37" t="s">
        <v>21</v>
      </c>
      <c r="C5" s="128"/>
      <c r="D5" s="129"/>
      <c r="E5" s="128"/>
      <c r="F5" s="128"/>
      <c r="G5" s="128"/>
      <c r="H5" s="130"/>
      <c r="I5" s="129"/>
      <c r="J5" s="128"/>
      <c r="K5" s="128"/>
      <c r="L5" s="128"/>
      <c r="M5" s="130"/>
      <c r="N5" s="129"/>
      <c r="O5" s="128"/>
      <c r="P5" s="128"/>
      <c r="Q5" s="128"/>
      <c r="R5" s="130"/>
      <c r="S5" s="131"/>
      <c r="T5" s="132"/>
      <c r="U5" s="132"/>
      <c r="V5" s="132"/>
      <c r="W5" s="133"/>
      <c r="X5" s="134" t="s">
        <v>73</v>
      </c>
      <c r="Y5" s="128"/>
      <c r="Z5" s="129"/>
      <c r="AA5" s="128"/>
      <c r="AB5" s="128"/>
      <c r="AC5" s="128"/>
      <c r="AD5" s="130"/>
      <c r="AE5" s="129"/>
      <c r="AF5" s="128"/>
      <c r="AG5" s="128"/>
      <c r="AH5" s="128"/>
      <c r="AI5" s="130"/>
      <c r="AJ5" s="129"/>
      <c r="AK5" s="128"/>
      <c r="AL5" s="128"/>
      <c r="AM5" s="128"/>
      <c r="AN5" s="130"/>
      <c r="AO5" s="131"/>
      <c r="AP5" s="132"/>
      <c r="AQ5" s="132"/>
      <c r="AR5" s="132"/>
      <c r="AS5" s="133"/>
      <c r="AT5" s="134" t="s">
        <v>73</v>
      </c>
      <c r="AU5" s="128"/>
      <c r="AV5" s="129"/>
      <c r="AW5" s="128"/>
      <c r="AX5" s="128"/>
      <c r="AY5" s="128"/>
      <c r="AZ5" s="130"/>
      <c r="BA5" s="129"/>
      <c r="BB5" s="128"/>
      <c r="BC5" s="128"/>
      <c r="BD5" s="128"/>
      <c r="BE5" s="130"/>
      <c r="BF5" s="129"/>
      <c r="BG5" s="128"/>
      <c r="BH5" s="128"/>
      <c r="BI5" s="128"/>
      <c r="BJ5" s="130"/>
      <c r="BK5" s="131"/>
      <c r="BL5" s="132"/>
      <c r="BM5" s="132"/>
      <c r="BN5" s="132"/>
      <c r="BO5" s="133"/>
    </row>
    <row r="6" spans="1:67" x14ac:dyDescent="0.25">
      <c r="A6" s="362"/>
      <c r="B6" s="66" t="s">
        <v>100</v>
      </c>
      <c r="C6" s="128"/>
      <c r="D6" s="129">
        <v>2730</v>
      </c>
      <c r="E6" s="128">
        <v>2730</v>
      </c>
      <c r="F6" s="128">
        <v>2620</v>
      </c>
      <c r="G6" s="128">
        <v>2680</v>
      </c>
      <c r="H6" s="128">
        <v>2660</v>
      </c>
      <c r="I6" s="129">
        <v>321510</v>
      </c>
      <c r="J6" s="128">
        <v>326470</v>
      </c>
      <c r="K6" s="128">
        <v>319650</v>
      </c>
      <c r="L6" s="128">
        <v>316550</v>
      </c>
      <c r="M6" s="128">
        <v>309750</v>
      </c>
      <c r="N6" s="129"/>
      <c r="O6" s="128"/>
      <c r="P6" s="128"/>
      <c r="Q6" s="128"/>
      <c r="R6" s="130"/>
      <c r="S6" s="131" t="s">
        <v>56</v>
      </c>
      <c r="T6" s="132" t="s">
        <v>56</v>
      </c>
      <c r="U6" s="132" t="s">
        <v>56</v>
      </c>
      <c r="V6" s="132" t="s">
        <v>56</v>
      </c>
      <c r="W6" s="133" t="s">
        <v>56</v>
      </c>
      <c r="X6" s="135" t="s">
        <v>74</v>
      </c>
      <c r="Y6" s="128"/>
      <c r="Z6" s="129">
        <v>2140</v>
      </c>
      <c r="AA6" s="128">
        <v>2150</v>
      </c>
      <c r="AB6" s="128">
        <v>2200</v>
      </c>
      <c r="AC6" s="128">
        <v>2280</v>
      </c>
      <c r="AD6" s="128">
        <v>2220</v>
      </c>
      <c r="AE6" s="129">
        <v>304840</v>
      </c>
      <c r="AF6" s="128">
        <v>311360</v>
      </c>
      <c r="AG6" s="128">
        <v>303830</v>
      </c>
      <c r="AH6" s="128">
        <v>300640</v>
      </c>
      <c r="AI6" s="128">
        <v>294730</v>
      </c>
      <c r="AJ6" s="129"/>
      <c r="AK6" s="128"/>
      <c r="AL6" s="128"/>
      <c r="AM6" s="128"/>
      <c r="AN6" s="130"/>
      <c r="AO6" s="131" t="s">
        <v>56</v>
      </c>
      <c r="AP6" s="132" t="s">
        <v>56</v>
      </c>
      <c r="AQ6" s="132" t="s">
        <v>56</v>
      </c>
      <c r="AR6" s="132" t="s">
        <v>56</v>
      </c>
      <c r="AS6" s="133" t="s">
        <v>56</v>
      </c>
      <c r="AT6" s="135" t="s">
        <v>74</v>
      </c>
      <c r="AU6" s="128"/>
      <c r="AV6" s="129">
        <v>4870</v>
      </c>
      <c r="AW6" s="128">
        <v>4880</v>
      </c>
      <c r="AX6" s="128">
        <v>4820</v>
      </c>
      <c r="AY6" s="128">
        <v>4960</v>
      </c>
      <c r="AZ6" s="128">
        <v>4890</v>
      </c>
      <c r="BA6" s="129">
        <v>626350</v>
      </c>
      <c r="BB6" s="128">
        <v>637830</v>
      </c>
      <c r="BC6" s="128">
        <v>623480</v>
      </c>
      <c r="BD6" s="128">
        <v>617180</v>
      </c>
      <c r="BE6" s="128">
        <v>604480</v>
      </c>
      <c r="BF6" s="129"/>
      <c r="BG6" s="128"/>
      <c r="BH6" s="128"/>
      <c r="BI6" s="128"/>
      <c r="BJ6" s="130"/>
      <c r="BK6" s="131" t="s">
        <v>56</v>
      </c>
      <c r="BL6" s="132" t="s">
        <v>56</v>
      </c>
      <c r="BM6" s="132" t="s">
        <v>56</v>
      </c>
      <c r="BN6" s="132" t="s">
        <v>56</v>
      </c>
      <c r="BO6" s="186">
        <v>14040</v>
      </c>
    </row>
    <row r="7" spans="1:67" x14ac:dyDescent="0.25">
      <c r="A7" s="362"/>
      <c r="B7" s="66"/>
      <c r="C7" s="128"/>
      <c r="D7" s="129"/>
      <c r="E7" s="128"/>
      <c r="F7" s="128"/>
      <c r="G7" s="136"/>
      <c r="H7" s="137"/>
      <c r="I7" s="129"/>
      <c r="J7" s="128"/>
      <c r="K7" s="128"/>
      <c r="L7" s="136"/>
      <c r="M7" s="137"/>
      <c r="N7" s="129"/>
      <c r="O7" s="128"/>
      <c r="P7" s="128"/>
      <c r="Q7" s="136"/>
      <c r="R7" s="137"/>
      <c r="S7" s="131"/>
      <c r="T7" s="132"/>
      <c r="U7" s="132"/>
      <c r="V7" s="132"/>
      <c r="W7" s="133"/>
      <c r="X7" s="135"/>
      <c r="Y7" s="128"/>
      <c r="Z7" s="129"/>
      <c r="AA7" s="128"/>
      <c r="AB7" s="128"/>
      <c r="AC7" s="136"/>
      <c r="AD7" s="137"/>
      <c r="AE7" s="129"/>
      <c r="AF7" s="128"/>
      <c r="AG7" s="128"/>
      <c r="AH7" s="136"/>
      <c r="AI7" s="137"/>
      <c r="AJ7" s="129"/>
      <c r="AK7" s="128"/>
      <c r="AL7" s="128"/>
      <c r="AM7" s="136"/>
      <c r="AN7" s="137"/>
      <c r="AO7" s="131"/>
      <c r="AP7" s="132"/>
      <c r="AQ7" s="132"/>
      <c r="AR7" s="132"/>
      <c r="AS7" s="133"/>
      <c r="AT7" s="135"/>
      <c r="AU7" s="128"/>
      <c r="AV7" s="129"/>
      <c r="AW7" s="128"/>
      <c r="AX7" s="128"/>
      <c r="AY7" s="136"/>
      <c r="AZ7" s="137"/>
      <c r="BA7" s="129"/>
      <c r="BB7" s="128"/>
      <c r="BC7" s="128"/>
      <c r="BD7" s="136"/>
      <c r="BE7" s="137"/>
      <c r="BF7" s="129"/>
      <c r="BG7" s="128"/>
      <c r="BH7" s="128"/>
      <c r="BI7" s="136"/>
      <c r="BJ7" s="137"/>
      <c r="BK7" s="131"/>
      <c r="BL7" s="132"/>
      <c r="BM7" s="132"/>
      <c r="BN7" s="132"/>
      <c r="BO7" s="133"/>
    </row>
    <row r="8" spans="1:67" x14ac:dyDescent="0.25">
      <c r="A8" s="362"/>
      <c r="B8" s="67" t="s">
        <v>45</v>
      </c>
      <c r="C8" s="128"/>
      <c r="D8" s="129">
        <v>540</v>
      </c>
      <c r="E8" s="128">
        <v>510</v>
      </c>
      <c r="F8" s="128">
        <v>570</v>
      </c>
      <c r="G8" s="128">
        <v>690</v>
      </c>
      <c r="H8" s="128">
        <v>800</v>
      </c>
      <c r="I8" s="129">
        <v>209830</v>
      </c>
      <c r="J8" s="128">
        <v>217120</v>
      </c>
      <c r="K8" s="128">
        <v>217820</v>
      </c>
      <c r="L8" s="128">
        <v>226740</v>
      </c>
      <c r="M8" s="128">
        <v>226350</v>
      </c>
      <c r="N8" s="129"/>
      <c r="O8" s="128"/>
      <c r="P8" s="128"/>
      <c r="Q8" s="128"/>
      <c r="R8" s="130"/>
      <c r="S8" s="131" t="s">
        <v>56</v>
      </c>
      <c r="T8" s="132" t="s">
        <v>56</v>
      </c>
      <c r="U8" s="132" t="s">
        <v>56</v>
      </c>
      <c r="V8" s="132" t="s">
        <v>56</v>
      </c>
      <c r="W8" s="133" t="s">
        <v>56</v>
      </c>
      <c r="X8" s="138" t="s">
        <v>45</v>
      </c>
      <c r="Y8" s="128"/>
      <c r="Z8" s="129">
        <v>660</v>
      </c>
      <c r="AA8" s="128">
        <v>670</v>
      </c>
      <c r="AB8" s="128">
        <v>770</v>
      </c>
      <c r="AC8" s="128">
        <v>880</v>
      </c>
      <c r="AD8" s="128">
        <v>970</v>
      </c>
      <c r="AE8" s="129">
        <v>226760</v>
      </c>
      <c r="AF8" s="128">
        <v>235940</v>
      </c>
      <c r="AG8" s="128">
        <v>232910</v>
      </c>
      <c r="AH8" s="128">
        <v>237800</v>
      </c>
      <c r="AI8" s="128">
        <v>236440</v>
      </c>
      <c r="AJ8" s="129"/>
      <c r="AK8" s="128"/>
      <c r="AL8" s="128"/>
      <c r="AM8" s="128"/>
      <c r="AN8" s="130"/>
      <c r="AO8" s="131" t="s">
        <v>56</v>
      </c>
      <c r="AP8" s="132" t="s">
        <v>56</v>
      </c>
      <c r="AQ8" s="132" t="s">
        <v>56</v>
      </c>
      <c r="AR8" s="132" t="s">
        <v>56</v>
      </c>
      <c r="AS8" s="133" t="s">
        <v>56</v>
      </c>
      <c r="AT8" s="138" t="s">
        <v>45</v>
      </c>
      <c r="AU8" s="128"/>
      <c r="AV8" s="129">
        <v>1190</v>
      </c>
      <c r="AW8" s="128">
        <v>1180</v>
      </c>
      <c r="AX8" s="128">
        <v>1340</v>
      </c>
      <c r="AY8" s="128">
        <v>1570</v>
      </c>
      <c r="AZ8" s="128">
        <v>1760</v>
      </c>
      <c r="BA8" s="129">
        <v>436590</v>
      </c>
      <c r="BB8" s="128">
        <v>453060</v>
      </c>
      <c r="BC8" s="128">
        <v>450730</v>
      </c>
      <c r="BD8" s="128">
        <v>464540</v>
      </c>
      <c r="BE8" s="128">
        <v>462790</v>
      </c>
      <c r="BF8" s="129"/>
      <c r="BG8" s="128"/>
      <c r="BH8" s="128"/>
      <c r="BI8" s="128"/>
      <c r="BJ8" s="130"/>
      <c r="BK8" s="131" t="s">
        <v>56</v>
      </c>
      <c r="BL8" s="132" t="s">
        <v>56</v>
      </c>
      <c r="BM8" s="132" t="s">
        <v>56</v>
      </c>
      <c r="BN8" s="132" t="s">
        <v>56</v>
      </c>
      <c r="BO8" s="133" t="s">
        <v>56</v>
      </c>
    </row>
    <row r="9" spans="1:67" x14ac:dyDescent="0.25">
      <c r="A9" s="362"/>
      <c r="B9" s="67"/>
      <c r="C9" s="128"/>
      <c r="D9" s="139"/>
      <c r="E9" s="140"/>
      <c r="F9" s="140"/>
      <c r="G9" s="140"/>
      <c r="H9" s="141"/>
      <c r="I9" s="139"/>
      <c r="J9" s="140"/>
      <c r="K9" s="140"/>
      <c r="L9" s="140"/>
      <c r="M9" s="141"/>
      <c r="N9" s="139"/>
      <c r="O9" s="140"/>
      <c r="P9" s="140"/>
      <c r="Q9" s="140"/>
      <c r="R9" s="141"/>
      <c r="S9" s="131"/>
      <c r="T9" s="132"/>
      <c r="U9" s="132"/>
      <c r="V9" s="132"/>
      <c r="W9" s="133"/>
      <c r="X9" s="138"/>
      <c r="Y9" s="128"/>
      <c r="Z9" s="139"/>
      <c r="AA9" s="140"/>
      <c r="AB9" s="140"/>
      <c r="AC9" s="140"/>
      <c r="AD9" s="141"/>
      <c r="AE9" s="139"/>
      <c r="AF9" s="140"/>
      <c r="AG9" s="140"/>
      <c r="AH9" s="140"/>
      <c r="AI9" s="141"/>
      <c r="AJ9" s="139"/>
      <c r="AK9" s="140"/>
      <c r="AL9" s="140"/>
      <c r="AM9" s="140"/>
      <c r="AN9" s="141"/>
      <c r="AO9" s="131"/>
      <c r="AP9" s="132"/>
      <c r="AQ9" s="132"/>
      <c r="AR9" s="132"/>
      <c r="AS9" s="133"/>
      <c r="AT9" s="138"/>
      <c r="AU9" s="128"/>
      <c r="AV9" s="139"/>
      <c r="AW9" s="140"/>
      <c r="AX9" s="140"/>
      <c r="AY9" s="140"/>
      <c r="AZ9" s="141"/>
      <c r="BA9" s="139"/>
      <c r="BB9" s="140"/>
      <c r="BC9" s="140"/>
      <c r="BD9" s="140"/>
      <c r="BE9" s="141"/>
      <c r="BF9" s="139"/>
      <c r="BG9" s="140"/>
      <c r="BH9" s="140"/>
      <c r="BI9" s="140"/>
      <c r="BJ9" s="141"/>
      <c r="BK9" s="131"/>
      <c r="BL9" s="132"/>
      <c r="BM9" s="132"/>
      <c r="BN9" s="132"/>
      <c r="BO9" s="133"/>
    </row>
    <row r="10" spans="1:67" x14ac:dyDescent="0.25">
      <c r="A10" s="362"/>
      <c r="B10" s="67" t="s">
        <v>75</v>
      </c>
      <c r="C10" s="128"/>
      <c r="D10" s="129">
        <v>1820</v>
      </c>
      <c r="E10" s="128">
        <v>1880</v>
      </c>
      <c r="F10" s="128">
        <v>1870</v>
      </c>
      <c r="G10" s="128">
        <v>1800</v>
      </c>
      <c r="H10" s="128">
        <v>1670</v>
      </c>
      <c r="I10" s="129">
        <v>77880</v>
      </c>
      <c r="J10" s="128">
        <v>75190</v>
      </c>
      <c r="K10" s="128">
        <v>72140</v>
      </c>
      <c r="L10" s="128">
        <v>60710</v>
      </c>
      <c r="M10" s="128">
        <v>54400</v>
      </c>
      <c r="N10" s="129"/>
      <c r="O10" s="128"/>
      <c r="P10" s="128"/>
      <c r="Q10" s="128"/>
      <c r="R10" s="130"/>
      <c r="S10" s="131" t="s">
        <v>56</v>
      </c>
      <c r="T10" s="132" t="s">
        <v>56</v>
      </c>
      <c r="U10" s="132" t="s">
        <v>56</v>
      </c>
      <c r="V10" s="132" t="s">
        <v>56</v>
      </c>
      <c r="W10" s="133" t="s">
        <v>56</v>
      </c>
      <c r="X10" s="138" t="s">
        <v>75</v>
      </c>
      <c r="Y10" s="128"/>
      <c r="Z10" s="129">
        <v>1190</v>
      </c>
      <c r="AA10" s="128">
        <v>1190</v>
      </c>
      <c r="AB10" s="128">
        <v>1280</v>
      </c>
      <c r="AC10" s="128">
        <v>1230</v>
      </c>
      <c r="AD10" s="128">
        <v>1060</v>
      </c>
      <c r="AE10" s="129">
        <v>47610</v>
      </c>
      <c r="AF10" s="128">
        <v>44280</v>
      </c>
      <c r="AG10" s="128">
        <v>42460</v>
      </c>
      <c r="AH10" s="128">
        <v>34710</v>
      </c>
      <c r="AI10" s="128">
        <v>30170</v>
      </c>
      <c r="AJ10" s="129"/>
      <c r="AK10" s="128"/>
      <c r="AL10" s="128"/>
      <c r="AM10" s="128"/>
      <c r="AN10" s="130"/>
      <c r="AO10" s="131" t="s">
        <v>56</v>
      </c>
      <c r="AP10" s="132" t="s">
        <v>56</v>
      </c>
      <c r="AQ10" s="132" t="s">
        <v>56</v>
      </c>
      <c r="AR10" s="132" t="s">
        <v>56</v>
      </c>
      <c r="AS10" s="133" t="s">
        <v>56</v>
      </c>
      <c r="AT10" s="138" t="s">
        <v>75</v>
      </c>
      <c r="AU10" s="128"/>
      <c r="AV10" s="129">
        <v>3010</v>
      </c>
      <c r="AW10" s="128">
        <v>3080</v>
      </c>
      <c r="AX10" s="128">
        <v>3150</v>
      </c>
      <c r="AY10" s="128">
        <v>3030</v>
      </c>
      <c r="AZ10" s="128">
        <v>2730</v>
      </c>
      <c r="BA10" s="129">
        <v>125490</v>
      </c>
      <c r="BB10" s="128">
        <v>119470</v>
      </c>
      <c r="BC10" s="128">
        <v>114600</v>
      </c>
      <c r="BD10" s="128">
        <v>95420</v>
      </c>
      <c r="BE10" s="128">
        <v>84570</v>
      </c>
      <c r="BF10" s="129"/>
      <c r="BG10" s="128"/>
      <c r="BH10" s="128"/>
      <c r="BI10" s="128"/>
      <c r="BJ10" s="130"/>
      <c r="BK10" s="131" t="s">
        <v>56</v>
      </c>
      <c r="BL10" s="132" t="s">
        <v>56</v>
      </c>
      <c r="BM10" s="132" t="s">
        <v>56</v>
      </c>
      <c r="BN10" s="132" t="s">
        <v>56</v>
      </c>
      <c r="BO10" s="133" t="s">
        <v>56</v>
      </c>
    </row>
    <row r="11" spans="1:67" x14ac:dyDescent="0.25">
      <c r="A11" s="362"/>
      <c r="B11" s="67" t="s">
        <v>101</v>
      </c>
      <c r="C11" s="128"/>
      <c r="D11" s="129">
        <v>1030</v>
      </c>
      <c r="E11" s="128">
        <v>1120</v>
      </c>
      <c r="F11" s="128">
        <v>1100</v>
      </c>
      <c r="G11" s="128">
        <v>1140</v>
      </c>
      <c r="H11" s="128">
        <v>1040</v>
      </c>
      <c r="I11" s="129">
        <v>16200</v>
      </c>
      <c r="J11" s="128">
        <v>17110</v>
      </c>
      <c r="K11" s="128">
        <v>17000</v>
      </c>
      <c r="L11" s="128">
        <v>16880</v>
      </c>
      <c r="M11" s="128">
        <v>16430</v>
      </c>
      <c r="N11" s="129"/>
      <c r="O11" s="128"/>
      <c r="P11" s="128"/>
      <c r="Q11" s="128"/>
      <c r="R11" s="130"/>
      <c r="S11" s="131" t="s">
        <v>56</v>
      </c>
      <c r="T11" s="132" t="s">
        <v>56</v>
      </c>
      <c r="U11" s="132" t="s">
        <v>56</v>
      </c>
      <c r="V11" s="132" t="s">
        <v>56</v>
      </c>
      <c r="W11" s="133" t="s">
        <v>56</v>
      </c>
      <c r="X11" s="138" t="s">
        <v>76</v>
      </c>
      <c r="Y11" s="128"/>
      <c r="Z11" s="129">
        <v>420</v>
      </c>
      <c r="AA11" s="128">
        <v>390</v>
      </c>
      <c r="AB11" s="128">
        <v>440</v>
      </c>
      <c r="AC11" s="128">
        <v>450</v>
      </c>
      <c r="AD11" s="128">
        <v>420</v>
      </c>
      <c r="AE11" s="129">
        <v>5650</v>
      </c>
      <c r="AF11" s="128">
        <v>5830</v>
      </c>
      <c r="AG11" s="128">
        <v>5850</v>
      </c>
      <c r="AH11" s="128">
        <v>5720</v>
      </c>
      <c r="AI11" s="128">
        <v>5750</v>
      </c>
      <c r="AJ11" s="129"/>
      <c r="AK11" s="128"/>
      <c r="AL11" s="128"/>
      <c r="AM11" s="128"/>
      <c r="AN11" s="130"/>
      <c r="AO11" s="131" t="s">
        <v>56</v>
      </c>
      <c r="AP11" s="132" t="s">
        <v>56</v>
      </c>
      <c r="AQ11" s="132" t="s">
        <v>56</v>
      </c>
      <c r="AR11" s="132" t="s">
        <v>56</v>
      </c>
      <c r="AS11" s="133" t="s">
        <v>56</v>
      </c>
      <c r="AT11" s="138" t="s">
        <v>76</v>
      </c>
      <c r="AU11" s="128"/>
      <c r="AV11" s="129">
        <v>1450</v>
      </c>
      <c r="AW11" s="128">
        <v>1510</v>
      </c>
      <c r="AX11" s="128">
        <v>1550</v>
      </c>
      <c r="AY11" s="128">
        <v>1590</v>
      </c>
      <c r="AZ11" s="128">
        <v>1460</v>
      </c>
      <c r="BA11" s="129">
        <v>21850</v>
      </c>
      <c r="BB11" s="128">
        <v>22940</v>
      </c>
      <c r="BC11" s="128">
        <v>22850</v>
      </c>
      <c r="BD11" s="128">
        <v>22600</v>
      </c>
      <c r="BE11" s="128">
        <v>22190</v>
      </c>
      <c r="BF11" s="129"/>
      <c r="BG11" s="128"/>
      <c r="BH11" s="128"/>
      <c r="BI11" s="128"/>
      <c r="BJ11" s="130"/>
      <c r="BK11" s="131" t="s">
        <v>56</v>
      </c>
      <c r="BL11" s="132" t="s">
        <v>56</v>
      </c>
      <c r="BM11" s="132" t="s">
        <v>56</v>
      </c>
      <c r="BN11" s="132" t="s">
        <v>56</v>
      </c>
      <c r="BO11" s="133" t="s">
        <v>56</v>
      </c>
    </row>
    <row r="12" spans="1:67" x14ac:dyDescent="0.25">
      <c r="A12" s="362"/>
      <c r="B12" s="67" t="s">
        <v>102</v>
      </c>
      <c r="C12" s="142"/>
      <c r="D12" s="129">
        <v>780</v>
      </c>
      <c r="E12" s="128">
        <v>760</v>
      </c>
      <c r="F12" s="128">
        <v>770</v>
      </c>
      <c r="G12" s="128">
        <v>660</v>
      </c>
      <c r="H12" s="128">
        <v>630</v>
      </c>
      <c r="I12" s="129">
        <v>61680</v>
      </c>
      <c r="J12" s="128">
        <v>58080</v>
      </c>
      <c r="K12" s="128">
        <v>55140</v>
      </c>
      <c r="L12" s="128">
        <v>43840</v>
      </c>
      <c r="M12" s="128">
        <v>37970</v>
      </c>
      <c r="N12" s="129"/>
      <c r="O12" s="128"/>
      <c r="P12" s="128"/>
      <c r="Q12" s="128"/>
      <c r="R12" s="130"/>
      <c r="S12" s="131" t="s">
        <v>56</v>
      </c>
      <c r="T12" s="132" t="s">
        <v>56</v>
      </c>
      <c r="U12" s="132" t="s">
        <v>56</v>
      </c>
      <c r="V12" s="132" t="s">
        <v>56</v>
      </c>
      <c r="W12" s="133" t="s">
        <v>56</v>
      </c>
      <c r="X12" s="138" t="s">
        <v>77</v>
      </c>
      <c r="Y12" s="142"/>
      <c r="Z12" s="129">
        <v>770</v>
      </c>
      <c r="AA12" s="128">
        <v>810</v>
      </c>
      <c r="AB12" s="128">
        <v>840</v>
      </c>
      <c r="AC12" s="128">
        <v>780</v>
      </c>
      <c r="AD12" s="128">
        <v>640</v>
      </c>
      <c r="AE12" s="129">
        <v>41960</v>
      </c>
      <c r="AF12" s="128">
        <v>38450</v>
      </c>
      <c r="AG12" s="128">
        <v>36610</v>
      </c>
      <c r="AH12" s="128">
        <v>28980</v>
      </c>
      <c r="AI12" s="128">
        <v>24410</v>
      </c>
      <c r="AJ12" s="129"/>
      <c r="AK12" s="128"/>
      <c r="AL12" s="128"/>
      <c r="AM12" s="128"/>
      <c r="AN12" s="130"/>
      <c r="AO12" s="131" t="s">
        <v>56</v>
      </c>
      <c r="AP12" s="132" t="s">
        <v>56</v>
      </c>
      <c r="AQ12" s="132" t="s">
        <v>56</v>
      </c>
      <c r="AR12" s="132" t="s">
        <v>56</v>
      </c>
      <c r="AS12" s="133" t="s">
        <v>56</v>
      </c>
      <c r="AT12" s="138" t="s">
        <v>77</v>
      </c>
      <c r="AU12" s="142"/>
      <c r="AV12" s="129">
        <v>1560</v>
      </c>
      <c r="AW12" s="128">
        <v>1570</v>
      </c>
      <c r="AX12" s="128">
        <v>1610</v>
      </c>
      <c r="AY12" s="128">
        <v>1440</v>
      </c>
      <c r="AZ12" s="128">
        <v>1270</v>
      </c>
      <c r="BA12" s="129">
        <v>103640</v>
      </c>
      <c r="BB12" s="128">
        <v>96530</v>
      </c>
      <c r="BC12" s="128">
        <v>91750</v>
      </c>
      <c r="BD12" s="128">
        <v>72820</v>
      </c>
      <c r="BE12" s="128">
        <v>62380</v>
      </c>
      <c r="BF12" s="129"/>
      <c r="BG12" s="128"/>
      <c r="BH12" s="128"/>
      <c r="BI12" s="128"/>
      <c r="BJ12" s="130"/>
      <c r="BK12" s="131" t="s">
        <v>56</v>
      </c>
      <c r="BL12" s="132" t="s">
        <v>56</v>
      </c>
      <c r="BM12" s="132" t="s">
        <v>56</v>
      </c>
      <c r="BN12" s="132" t="s">
        <v>56</v>
      </c>
      <c r="BO12" s="133" t="s">
        <v>56</v>
      </c>
    </row>
    <row r="13" spans="1:67" x14ac:dyDescent="0.25">
      <c r="A13" s="362"/>
      <c r="B13" s="37"/>
      <c r="C13" s="128"/>
      <c r="D13" s="129"/>
      <c r="E13" s="128"/>
      <c r="F13" s="128"/>
      <c r="G13" s="128"/>
      <c r="H13" s="130"/>
      <c r="I13" s="129"/>
      <c r="J13" s="128"/>
      <c r="K13" s="128"/>
      <c r="L13" s="128"/>
      <c r="M13" s="130"/>
      <c r="N13" s="129"/>
      <c r="O13" s="128"/>
      <c r="P13" s="128"/>
      <c r="Q13" s="128"/>
      <c r="R13" s="130"/>
      <c r="S13" s="131"/>
      <c r="T13" s="132"/>
      <c r="U13" s="132"/>
      <c r="V13" s="132"/>
      <c r="W13" s="133"/>
      <c r="X13" s="134"/>
      <c r="Y13" s="128"/>
      <c r="Z13" s="129"/>
      <c r="AA13" s="128"/>
      <c r="AB13" s="128"/>
      <c r="AC13" s="128"/>
      <c r="AD13" s="130"/>
      <c r="AE13" s="129"/>
      <c r="AF13" s="128"/>
      <c r="AG13" s="128"/>
      <c r="AH13" s="128"/>
      <c r="AI13" s="130"/>
      <c r="AJ13" s="129"/>
      <c r="AK13" s="128"/>
      <c r="AL13" s="128"/>
      <c r="AM13" s="128"/>
      <c r="AN13" s="130"/>
      <c r="AO13" s="131"/>
      <c r="AP13" s="132"/>
      <c r="AQ13" s="132"/>
      <c r="AR13" s="132"/>
      <c r="AS13" s="133"/>
      <c r="AT13" s="134"/>
      <c r="AU13" s="128"/>
      <c r="AV13" s="129"/>
      <c r="AW13" s="128"/>
      <c r="AX13" s="128"/>
      <c r="AY13" s="128"/>
      <c r="AZ13" s="130"/>
      <c r="BA13" s="129"/>
      <c r="BB13" s="128"/>
      <c r="BC13" s="128"/>
      <c r="BD13" s="128"/>
      <c r="BE13" s="130"/>
      <c r="BF13" s="129"/>
      <c r="BG13" s="128"/>
      <c r="BH13" s="128"/>
      <c r="BI13" s="128"/>
      <c r="BJ13" s="130"/>
      <c r="BK13" s="131"/>
      <c r="BL13" s="132"/>
      <c r="BM13" s="132"/>
      <c r="BN13" s="132"/>
      <c r="BO13" s="133"/>
    </row>
    <row r="14" spans="1:67" x14ac:dyDescent="0.25">
      <c r="A14" s="362"/>
      <c r="B14" s="37" t="s">
        <v>78</v>
      </c>
      <c r="C14" s="128"/>
      <c r="D14" s="129"/>
      <c r="E14" s="128"/>
      <c r="F14" s="128"/>
      <c r="G14" s="128"/>
      <c r="H14" s="130"/>
      <c r="I14" s="129"/>
      <c r="J14" s="128"/>
      <c r="K14" s="128"/>
      <c r="L14" s="128"/>
      <c r="M14" s="130"/>
      <c r="N14" s="129"/>
      <c r="O14" s="128"/>
      <c r="P14" s="128"/>
      <c r="Q14" s="128"/>
      <c r="R14" s="130"/>
      <c r="S14" s="131"/>
      <c r="T14" s="132"/>
      <c r="U14" s="132"/>
      <c r="V14" s="132"/>
      <c r="W14" s="133"/>
      <c r="X14" s="134" t="s">
        <v>79</v>
      </c>
      <c r="Y14" s="128"/>
      <c r="Z14" s="129"/>
      <c r="AA14" s="128"/>
      <c r="AB14" s="128"/>
      <c r="AC14" s="128"/>
      <c r="AD14" s="130"/>
      <c r="AE14" s="129"/>
      <c r="AF14" s="128"/>
      <c r="AG14" s="128"/>
      <c r="AH14" s="128"/>
      <c r="AI14" s="130"/>
      <c r="AJ14" s="129"/>
      <c r="AK14" s="128"/>
      <c r="AL14" s="128"/>
      <c r="AM14" s="128"/>
      <c r="AN14" s="130"/>
      <c r="AO14" s="131"/>
      <c r="AP14" s="132"/>
      <c r="AQ14" s="132"/>
      <c r="AR14" s="132"/>
      <c r="AS14" s="133"/>
      <c r="AT14" s="134" t="s">
        <v>79</v>
      </c>
      <c r="AU14" s="128"/>
      <c r="AV14" s="129"/>
      <c r="AW14" s="128"/>
      <c r="AX14" s="128"/>
      <c r="AY14" s="128"/>
      <c r="AZ14" s="130"/>
      <c r="BA14" s="129"/>
      <c r="BB14" s="128"/>
      <c r="BC14" s="128"/>
      <c r="BD14" s="128"/>
      <c r="BE14" s="130"/>
      <c r="BF14" s="129"/>
      <c r="BG14" s="128"/>
      <c r="BH14" s="128"/>
      <c r="BI14" s="128"/>
      <c r="BJ14" s="130"/>
      <c r="BK14" s="131"/>
      <c r="BL14" s="132"/>
      <c r="BM14" s="132"/>
      <c r="BN14" s="132"/>
      <c r="BO14" s="133"/>
    </row>
    <row r="15" spans="1:67" x14ac:dyDescent="0.25">
      <c r="A15" s="362"/>
      <c r="B15" s="66" t="s">
        <v>100</v>
      </c>
      <c r="C15" s="128"/>
      <c r="D15" s="180">
        <v>12.1</v>
      </c>
      <c r="E15" s="76">
        <v>12.6</v>
      </c>
      <c r="F15" s="76">
        <v>11</v>
      </c>
      <c r="G15" s="76">
        <v>13.3</v>
      </c>
      <c r="H15" s="76">
        <v>14.9</v>
      </c>
      <c r="I15" s="180">
        <v>54.8</v>
      </c>
      <c r="J15" s="76">
        <v>54.3</v>
      </c>
      <c r="K15" s="76">
        <v>50.4</v>
      </c>
      <c r="L15" s="76">
        <v>50.9</v>
      </c>
      <c r="M15" s="76">
        <v>54.6</v>
      </c>
      <c r="N15" s="129"/>
      <c r="O15" s="128"/>
      <c r="P15" s="128"/>
      <c r="Q15" s="128"/>
      <c r="R15" s="130"/>
      <c r="S15" s="131" t="s">
        <v>56</v>
      </c>
      <c r="T15" s="132" t="s">
        <v>56</v>
      </c>
      <c r="U15" s="132" t="s">
        <v>56</v>
      </c>
      <c r="V15" s="132" t="s">
        <v>56</v>
      </c>
      <c r="W15" s="133" t="s">
        <v>56</v>
      </c>
      <c r="X15" s="135" t="s">
        <v>74</v>
      </c>
      <c r="Y15" s="128"/>
      <c r="Z15" s="180">
        <v>19.600000000000001</v>
      </c>
      <c r="AA15" s="76">
        <v>20.8</v>
      </c>
      <c r="AB15" s="76">
        <v>18.2</v>
      </c>
      <c r="AC15" s="76">
        <v>18.899999999999999</v>
      </c>
      <c r="AD15" s="76">
        <v>20.7</v>
      </c>
      <c r="AE15" s="180">
        <v>64.099999999999994</v>
      </c>
      <c r="AF15" s="76">
        <v>64.7</v>
      </c>
      <c r="AG15" s="76">
        <v>59.8</v>
      </c>
      <c r="AH15" s="76">
        <v>59.7</v>
      </c>
      <c r="AI15" s="76">
        <v>63.2</v>
      </c>
      <c r="AJ15" s="129"/>
      <c r="AK15" s="128"/>
      <c r="AL15" s="128"/>
      <c r="AM15" s="128"/>
      <c r="AN15" s="130"/>
      <c r="AO15" s="131" t="s">
        <v>56</v>
      </c>
      <c r="AP15" s="132" t="s">
        <v>56</v>
      </c>
      <c r="AQ15" s="132" t="s">
        <v>56</v>
      </c>
      <c r="AR15" s="132" t="s">
        <v>56</v>
      </c>
      <c r="AS15" s="133" t="s">
        <v>56</v>
      </c>
      <c r="AT15" s="135" t="s">
        <v>74</v>
      </c>
      <c r="AU15" s="128"/>
      <c r="AV15" s="180">
        <v>15.4</v>
      </c>
      <c r="AW15" s="76">
        <v>16.2</v>
      </c>
      <c r="AX15" s="76">
        <v>14.3</v>
      </c>
      <c r="AY15" s="76">
        <v>15.9</v>
      </c>
      <c r="AZ15" s="76">
        <v>17.5</v>
      </c>
      <c r="BA15" s="180">
        <v>59.3</v>
      </c>
      <c r="BB15" s="76">
        <v>59.4</v>
      </c>
      <c r="BC15" s="76">
        <v>55</v>
      </c>
      <c r="BD15" s="76">
        <v>55.2</v>
      </c>
      <c r="BE15" s="76">
        <v>58.8</v>
      </c>
      <c r="BF15" s="129"/>
      <c r="BG15" s="128"/>
      <c r="BH15" s="128"/>
      <c r="BI15" s="128"/>
      <c r="BJ15" s="130"/>
      <c r="BK15" s="131" t="s">
        <v>56</v>
      </c>
      <c r="BL15" s="132" t="s">
        <v>56</v>
      </c>
      <c r="BM15" s="132" t="s">
        <v>56</v>
      </c>
      <c r="BN15" s="132" t="s">
        <v>56</v>
      </c>
      <c r="BO15" s="133">
        <v>18.8</v>
      </c>
    </row>
    <row r="16" spans="1:67" x14ac:dyDescent="0.25">
      <c r="A16" s="362"/>
      <c r="B16" s="66"/>
      <c r="C16" s="128"/>
      <c r="D16" s="180"/>
      <c r="E16" s="76"/>
      <c r="F16" s="76"/>
      <c r="G16" s="76"/>
      <c r="H16" s="76"/>
      <c r="I16" s="180"/>
      <c r="J16" s="76"/>
      <c r="K16" s="76"/>
      <c r="L16" s="76"/>
      <c r="M16" s="76"/>
      <c r="N16" s="129"/>
      <c r="O16" s="128"/>
      <c r="P16" s="128"/>
      <c r="Q16" s="136"/>
      <c r="R16" s="137"/>
      <c r="S16" s="131"/>
      <c r="T16" s="132"/>
      <c r="U16" s="132"/>
      <c r="V16" s="132"/>
      <c r="W16" s="133"/>
      <c r="X16" s="135"/>
      <c r="Y16" s="128"/>
      <c r="Z16" s="180"/>
      <c r="AA16" s="76"/>
      <c r="AB16" s="76"/>
      <c r="AC16" s="76"/>
      <c r="AD16" s="76"/>
      <c r="AE16" s="180"/>
      <c r="AF16" s="76"/>
      <c r="AG16" s="76"/>
      <c r="AH16" s="76"/>
      <c r="AI16" s="76"/>
      <c r="AJ16" s="129"/>
      <c r="AK16" s="128"/>
      <c r="AL16" s="128"/>
      <c r="AM16" s="136"/>
      <c r="AN16" s="137"/>
      <c r="AO16" s="131"/>
      <c r="AP16" s="132"/>
      <c r="AQ16" s="132"/>
      <c r="AR16" s="132"/>
      <c r="AS16" s="133"/>
      <c r="AT16" s="135"/>
      <c r="AU16" s="128"/>
      <c r="AV16" s="180"/>
      <c r="AW16" s="76"/>
      <c r="AX16" s="76"/>
      <c r="AY16" s="76"/>
      <c r="AZ16" s="76"/>
      <c r="BA16" s="180"/>
      <c r="BB16" s="76"/>
      <c r="BC16" s="76"/>
      <c r="BD16" s="76"/>
      <c r="BE16" s="76"/>
      <c r="BF16" s="129"/>
      <c r="BG16" s="128"/>
      <c r="BH16" s="128"/>
      <c r="BI16" s="136"/>
      <c r="BJ16" s="137"/>
      <c r="BK16" s="131"/>
      <c r="BL16" s="132"/>
      <c r="BM16" s="132"/>
      <c r="BN16" s="132"/>
      <c r="BO16" s="133"/>
    </row>
    <row r="17" spans="1:67" x14ac:dyDescent="0.25">
      <c r="A17" s="362"/>
      <c r="B17" s="67" t="s">
        <v>45</v>
      </c>
      <c r="C17" s="128"/>
      <c r="D17" s="180">
        <v>32.299999999999997</v>
      </c>
      <c r="E17" s="76">
        <v>35.799999999999997</v>
      </c>
      <c r="F17" s="76">
        <v>26.4</v>
      </c>
      <c r="G17" s="76">
        <v>31.2</v>
      </c>
      <c r="H17" s="76">
        <v>31.7</v>
      </c>
      <c r="I17" s="180">
        <v>66.8</v>
      </c>
      <c r="J17" s="76">
        <v>68</v>
      </c>
      <c r="K17" s="76">
        <v>64.7</v>
      </c>
      <c r="L17" s="76">
        <v>63.5</v>
      </c>
      <c r="M17" s="76">
        <v>66.8</v>
      </c>
      <c r="N17" s="129"/>
      <c r="O17" s="128"/>
      <c r="P17" s="128"/>
      <c r="Q17" s="128"/>
      <c r="R17" s="130"/>
      <c r="S17" s="131" t="s">
        <v>56</v>
      </c>
      <c r="T17" s="132" t="s">
        <v>56</v>
      </c>
      <c r="U17" s="132" t="s">
        <v>56</v>
      </c>
      <c r="V17" s="132" t="s">
        <v>56</v>
      </c>
      <c r="W17" s="133" t="s">
        <v>56</v>
      </c>
      <c r="X17" s="138" t="s">
        <v>45</v>
      </c>
      <c r="Y17" s="128"/>
      <c r="Z17" s="180">
        <v>39.5</v>
      </c>
      <c r="AA17" s="76">
        <v>41.3</v>
      </c>
      <c r="AB17" s="76">
        <v>33.299999999999997</v>
      </c>
      <c r="AC17" s="76">
        <v>35.200000000000003</v>
      </c>
      <c r="AD17" s="76">
        <v>36.1</v>
      </c>
      <c r="AE17" s="180">
        <v>72.099999999999994</v>
      </c>
      <c r="AF17" s="76">
        <v>73.7</v>
      </c>
      <c r="AG17" s="76">
        <v>70</v>
      </c>
      <c r="AH17" s="76">
        <v>68.8</v>
      </c>
      <c r="AI17" s="76">
        <v>71.8</v>
      </c>
      <c r="AJ17" s="129"/>
      <c r="AK17" s="128"/>
      <c r="AL17" s="128"/>
      <c r="AM17" s="128"/>
      <c r="AN17" s="130"/>
      <c r="AO17" s="131" t="s">
        <v>56</v>
      </c>
      <c r="AP17" s="132" t="s">
        <v>56</v>
      </c>
      <c r="AQ17" s="132" t="s">
        <v>56</v>
      </c>
      <c r="AR17" s="132" t="s">
        <v>56</v>
      </c>
      <c r="AS17" s="133" t="s">
        <v>56</v>
      </c>
      <c r="AT17" s="138" t="s">
        <v>45</v>
      </c>
      <c r="AU17" s="128"/>
      <c r="AV17" s="180">
        <v>36.200000000000003</v>
      </c>
      <c r="AW17" s="76">
        <v>39</v>
      </c>
      <c r="AX17" s="76">
        <v>30.4</v>
      </c>
      <c r="AY17" s="76">
        <v>33.4</v>
      </c>
      <c r="AZ17" s="76">
        <v>34.1</v>
      </c>
      <c r="BA17" s="180">
        <v>69.599999999999994</v>
      </c>
      <c r="BB17" s="76">
        <v>71</v>
      </c>
      <c r="BC17" s="76">
        <v>67.400000000000006</v>
      </c>
      <c r="BD17" s="76">
        <v>66.2</v>
      </c>
      <c r="BE17" s="76">
        <v>69.3</v>
      </c>
      <c r="BF17" s="129"/>
      <c r="BG17" s="128"/>
      <c r="BH17" s="128"/>
      <c r="BI17" s="128"/>
      <c r="BJ17" s="130"/>
      <c r="BK17" s="131" t="s">
        <v>56</v>
      </c>
      <c r="BL17" s="132" t="s">
        <v>56</v>
      </c>
      <c r="BM17" s="132" t="s">
        <v>56</v>
      </c>
      <c r="BN17" s="132" t="s">
        <v>56</v>
      </c>
      <c r="BO17" s="133" t="s">
        <v>56</v>
      </c>
    </row>
    <row r="18" spans="1:67" x14ac:dyDescent="0.25">
      <c r="A18" s="362"/>
      <c r="B18" s="67"/>
      <c r="C18" s="128"/>
      <c r="D18" s="180"/>
      <c r="E18" s="76"/>
      <c r="F18" s="76"/>
      <c r="G18" s="76"/>
      <c r="H18" s="76"/>
      <c r="I18" s="180"/>
      <c r="J18" s="76"/>
      <c r="K18" s="76"/>
      <c r="L18" s="76"/>
      <c r="M18" s="76"/>
      <c r="N18" s="139"/>
      <c r="O18" s="140"/>
      <c r="P18" s="140"/>
      <c r="Q18" s="140"/>
      <c r="R18" s="141"/>
      <c r="S18" s="131"/>
      <c r="T18" s="132"/>
      <c r="U18" s="132"/>
      <c r="V18" s="132"/>
      <c r="W18" s="133"/>
      <c r="X18" s="138"/>
      <c r="Y18" s="128"/>
      <c r="Z18" s="180"/>
      <c r="AA18" s="76"/>
      <c r="AB18" s="76"/>
      <c r="AC18" s="76"/>
      <c r="AD18" s="76"/>
      <c r="AE18" s="180"/>
      <c r="AF18" s="76"/>
      <c r="AG18" s="76"/>
      <c r="AH18" s="76"/>
      <c r="AI18" s="76"/>
      <c r="AJ18" s="139"/>
      <c r="AK18" s="140"/>
      <c r="AL18" s="140"/>
      <c r="AM18" s="140"/>
      <c r="AN18" s="141"/>
      <c r="AO18" s="131"/>
      <c r="AP18" s="132"/>
      <c r="AQ18" s="132"/>
      <c r="AR18" s="132"/>
      <c r="AS18" s="133"/>
      <c r="AT18" s="138"/>
      <c r="AU18" s="128"/>
      <c r="AV18" s="180"/>
      <c r="AW18" s="76"/>
      <c r="AX18" s="76"/>
      <c r="AY18" s="76"/>
      <c r="AZ18" s="76"/>
      <c r="BA18" s="180"/>
      <c r="BB18" s="76"/>
      <c r="BC18" s="76"/>
      <c r="BD18" s="76"/>
      <c r="BE18" s="76"/>
      <c r="BF18" s="139"/>
      <c r="BG18" s="140"/>
      <c r="BH18" s="140"/>
      <c r="BI18" s="140"/>
      <c r="BJ18" s="141"/>
      <c r="BK18" s="131"/>
      <c r="BL18" s="132"/>
      <c r="BM18" s="132"/>
      <c r="BN18" s="132"/>
      <c r="BO18" s="133"/>
    </row>
    <row r="19" spans="1:67" x14ac:dyDescent="0.25">
      <c r="A19" s="362"/>
      <c r="B19" s="67" t="s">
        <v>75</v>
      </c>
      <c r="C19" s="128"/>
      <c r="D19" s="180">
        <v>8.4</v>
      </c>
      <c r="E19" s="76">
        <v>8.6</v>
      </c>
      <c r="F19" s="76">
        <v>7.3</v>
      </c>
      <c r="G19" s="76">
        <v>7.7</v>
      </c>
      <c r="H19" s="76">
        <v>8.4</v>
      </c>
      <c r="I19" s="180">
        <v>21.2</v>
      </c>
      <c r="J19" s="76">
        <v>22.2</v>
      </c>
      <c r="K19" s="76">
        <v>19.899999999999999</v>
      </c>
      <c r="L19" s="76">
        <v>19.399999999999999</v>
      </c>
      <c r="M19" s="76">
        <v>20.8</v>
      </c>
      <c r="N19" s="129"/>
      <c r="O19" s="128"/>
      <c r="P19" s="128"/>
      <c r="Q19" s="128"/>
      <c r="R19" s="130"/>
      <c r="S19" s="131" t="s">
        <v>56</v>
      </c>
      <c r="T19" s="132" t="s">
        <v>56</v>
      </c>
      <c r="U19" s="132" t="s">
        <v>56</v>
      </c>
      <c r="V19" s="132" t="s">
        <v>56</v>
      </c>
      <c r="W19" s="133" t="s">
        <v>56</v>
      </c>
      <c r="X19" s="138" t="s">
        <v>75</v>
      </c>
      <c r="Y19" s="128"/>
      <c r="Z19" s="180">
        <v>12.9</v>
      </c>
      <c r="AA19" s="76">
        <v>13.4</v>
      </c>
      <c r="AB19" s="76">
        <v>11</v>
      </c>
      <c r="AC19" s="76">
        <v>9.6999999999999993</v>
      </c>
      <c r="AD19" s="76">
        <v>10.199999999999999</v>
      </c>
      <c r="AE19" s="180">
        <v>25.3</v>
      </c>
      <c r="AF19" s="76">
        <v>26.1</v>
      </c>
      <c r="AG19" s="76">
        <v>24</v>
      </c>
      <c r="AH19" s="76">
        <v>23</v>
      </c>
      <c r="AI19" s="76">
        <v>25.3</v>
      </c>
      <c r="AJ19" s="129"/>
      <c r="AK19" s="128"/>
      <c r="AL19" s="128"/>
      <c r="AM19" s="128"/>
      <c r="AN19" s="130"/>
      <c r="AO19" s="131" t="s">
        <v>56</v>
      </c>
      <c r="AP19" s="132" t="s">
        <v>56</v>
      </c>
      <c r="AQ19" s="132" t="s">
        <v>56</v>
      </c>
      <c r="AR19" s="132" t="s">
        <v>56</v>
      </c>
      <c r="AS19" s="133" t="s">
        <v>56</v>
      </c>
      <c r="AT19" s="138" t="s">
        <v>75</v>
      </c>
      <c r="AU19" s="128"/>
      <c r="AV19" s="180">
        <v>10.199999999999999</v>
      </c>
      <c r="AW19" s="76">
        <v>10.5</v>
      </c>
      <c r="AX19" s="76">
        <v>8.8000000000000007</v>
      </c>
      <c r="AY19" s="76">
        <v>8.5</v>
      </c>
      <c r="AZ19" s="76">
        <v>9.1</v>
      </c>
      <c r="BA19" s="180">
        <v>22.7</v>
      </c>
      <c r="BB19" s="76">
        <v>23.6</v>
      </c>
      <c r="BC19" s="76">
        <v>21.4</v>
      </c>
      <c r="BD19" s="76">
        <v>20.7</v>
      </c>
      <c r="BE19" s="76">
        <v>22.4</v>
      </c>
      <c r="BF19" s="129"/>
      <c r="BG19" s="128"/>
      <c r="BH19" s="128"/>
      <c r="BI19" s="128"/>
      <c r="BJ19" s="130"/>
      <c r="BK19" s="131" t="s">
        <v>56</v>
      </c>
      <c r="BL19" s="132" t="s">
        <v>56</v>
      </c>
      <c r="BM19" s="132" t="s">
        <v>56</v>
      </c>
      <c r="BN19" s="132" t="s">
        <v>56</v>
      </c>
      <c r="BO19" s="133" t="s">
        <v>56</v>
      </c>
    </row>
    <row r="20" spans="1:67" x14ac:dyDescent="0.25">
      <c r="A20" s="362"/>
      <c r="B20" s="67" t="s">
        <v>101</v>
      </c>
      <c r="C20" s="128"/>
      <c r="D20" s="180">
        <v>2.5</v>
      </c>
      <c r="E20" s="76">
        <v>2.6</v>
      </c>
      <c r="F20" s="76">
        <v>3.2</v>
      </c>
      <c r="G20" s="76">
        <v>3.3</v>
      </c>
      <c r="H20" s="76">
        <v>3.7</v>
      </c>
      <c r="I20" s="180">
        <v>9.1999999999999993</v>
      </c>
      <c r="J20" s="76">
        <v>9.6999999999999993</v>
      </c>
      <c r="K20" s="76">
        <v>9</v>
      </c>
      <c r="L20" s="76">
        <v>10</v>
      </c>
      <c r="M20" s="76">
        <v>10.6</v>
      </c>
      <c r="N20" s="129"/>
      <c r="O20" s="128"/>
      <c r="P20" s="128"/>
      <c r="Q20" s="128"/>
      <c r="R20" s="130"/>
      <c r="S20" s="131" t="s">
        <v>56</v>
      </c>
      <c r="T20" s="132" t="s">
        <v>56</v>
      </c>
      <c r="U20" s="132" t="s">
        <v>56</v>
      </c>
      <c r="V20" s="132" t="s">
        <v>56</v>
      </c>
      <c r="W20" s="133" t="s">
        <v>56</v>
      </c>
      <c r="X20" s="138" t="s">
        <v>76</v>
      </c>
      <c r="Y20" s="128"/>
      <c r="Z20" s="180">
        <v>1.7</v>
      </c>
      <c r="AA20" s="76">
        <v>3.1</v>
      </c>
      <c r="AB20" s="76" t="s">
        <v>52</v>
      </c>
      <c r="AC20" s="76">
        <v>2.2000000000000002</v>
      </c>
      <c r="AD20" s="76">
        <v>1.4</v>
      </c>
      <c r="AE20" s="180">
        <v>7.8</v>
      </c>
      <c r="AF20" s="76">
        <v>8.9</v>
      </c>
      <c r="AG20" s="76">
        <v>7.6</v>
      </c>
      <c r="AH20" s="76">
        <v>8</v>
      </c>
      <c r="AI20" s="76">
        <v>8.6</v>
      </c>
      <c r="AJ20" s="129"/>
      <c r="AK20" s="128"/>
      <c r="AL20" s="128"/>
      <c r="AM20" s="128"/>
      <c r="AN20" s="130"/>
      <c r="AO20" s="131" t="s">
        <v>56</v>
      </c>
      <c r="AP20" s="132" t="s">
        <v>56</v>
      </c>
      <c r="AQ20" s="132" t="s">
        <v>56</v>
      </c>
      <c r="AR20" s="132" t="s">
        <v>56</v>
      </c>
      <c r="AS20" s="133" t="s">
        <v>56</v>
      </c>
      <c r="AT20" s="138" t="s">
        <v>76</v>
      </c>
      <c r="AU20" s="128"/>
      <c r="AV20" s="180">
        <v>2.2999999999999998</v>
      </c>
      <c r="AW20" s="76">
        <v>2.7</v>
      </c>
      <c r="AX20" s="76">
        <v>2.5</v>
      </c>
      <c r="AY20" s="76">
        <v>3</v>
      </c>
      <c r="AZ20" s="76">
        <v>3</v>
      </c>
      <c r="BA20" s="180">
        <v>8.8000000000000007</v>
      </c>
      <c r="BB20" s="76">
        <v>9.5</v>
      </c>
      <c r="BC20" s="76">
        <v>8.6</v>
      </c>
      <c r="BD20" s="76">
        <v>9.5</v>
      </c>
      <c r="BE20" s="76">
        <v>10.1</v>
      </c>
      <c r="BF20" s="129"/>
      <c r="BG20" s="128"/>
      <c r="BH20" s="128"/>
      <c r="BI20" s="128"/>
      <c r="BJ20" s="130"/>
      <c r="BK20" s="131" t="s">
        <v>56</v>
      </c>
      <c r="BL20" s="132" t="s">
        <v>56</v>
      </c>
      <c r="BM20" s="132" t="s">
        <v>56</v>
      </c>
      <c r="BN20" s="132" t="s">
        <v>56</v>
      </c>
      <c r="BO20" s="133" t="s">
        <v>56</v>
      </c>
    </row>
    <row r="21" spans="1:67" x14ac:dyDescent="0.25">
      <c r="A21" s="362"/>
      <c r="B21" s="72" t="s">
        <v>102</v>
      </c>
      <c r="C21" s="143"/>
      <c r="D21" s="180">
        <v>16.2</v>
      </c>
      <c r="E21" s="181">
        <v>17.399999999999999</v>
      </c>
      <c r="F21" s="181">
        <v>13.3</v>
      </c>
      <c r="G21" s="181">
        <v>15.3</v>
      </c>
      <c r="H21" s="76">
        <v>16.2</v>
      </c>
      <c r="I21" s="180">
        <v>24.3</v>
      </c>
      <c r="J21" s="181">
        <v>25.9</v>
      </c>
      <c r="K21" s="181">
        <v>23.2</v>
      </c>
      <c r="L21" s="181">
        <v>23</v>
      </c>
      <c r="M21" s="76">
        <v>25.3</v>
      </c>
      <c r="N21" s="144"/>
      <c r="O21" s="123"/>
      <c r="P21" s="123"/>
      <c r="Q21" s="123"/>
      <c r="R21" s="145"/>
      <c r="S21" s="146" t="s">
        <v>56</v>
      </c>
      <c r="T21" s="147" t="s">
        <v>56</v>
      </c>
      <c r="U21" s="147" t="s">
        <v>56</v>
      </c>
      <c r="V21" s="147" t="s">
        <v>56</v>
      </c>
      <c r="W21" s="148" t="s">
        <v>56</v>
      </c>
      <c r="X21" s="149" t="s">
        <v>77</v>
      </c>
      <c r="Y21" s="143"/>
      <c r="Z21" s="180">
        <v>18.899999999999999</v>
      </c>
      <c r="AA21" s="181">
        <v>18.399999999999999</v>
      </c>
      <c r="AB21" s="181">
        <v>16.2</v>
      </c>
      <c r="AC21" s="181">
        <v>14</v>
      </c>
      <c r="AD21" s="76">
        <v>16</v>
      </c>
      <c r="AE21" s="180">
        <v>27.6</v>
      </c>
      <c r="AF21" s="181">
        <v>28.7</v>
      </c>
      <c r="AG21" s="181">
        <v>26.6</v>
      </c>
      <c r="AH21" s="181">
        <v>26</v>
      </c>
      <c r="AI21" s="76">
        <v>29.2</v>
      </c>
      <c r="AJ21" s="144"/>
      <c r="AK21" s="123"/>
      <c r="AL21" s="123"/>
      <c r="AM21" s="123"/>
      <c r="AN21" s="145"/>
      <c r="AO21" s="146" t="s">
        <v>56</v>
      </c>
      <c r="AP21" s="147" t="s">
        <v>56</v>
      </c>
      <c r="AQ21" s="147" t="s">
        <v>56</v>
      </c>
      <c r="AR21" s="147" t="s">
        <v>56</v>
      </c>
      <c r="AS21" s="148" t="s">
        <v>56</v>
      </c>
      <c r="AT21" s="149" t="s">
        <v>77</v>
      </c>
      <c r="AU21" s="143"/>
      <c r="AV21" s="180">
        <v>17.600000000000001</v>
      </c>
      <c r="AW21" s="181">
        <v>17.899999999999999</v>
      </c>
      <c r="AX21" s="181">
        <v>14.8</v>
      </c>
      <c r="AY21" s="181">
        <v>14.6</v>
      </c>
      <c r="AZ21" s="76">
        <v>16.100000000000001</v>
      </c>
      <c r="BA21" s="180">
        <v>25.7</v>
      </c>
      <c r="BB21" s="181">
        <v>27</v>
      </c>
      <c r="BC21" s="181">
        <v>24.6</v>
      </c>
      <c r="BD21" s="181">
        <v>24.2</v>
      </c>
      <c r="BE21" s="76">
        <v>26.8</v>
      </c>
      <c r="BF21" s="144"/>
      <c r="BG21" s="123"/>
      <c r="BH21" s="123"/>
      <c r="BI21" s="123"/>
      <c r="BJ21" s="145"/>
      <c r="BK21" s="146" t="s">
        <v>56</v>
      </c>
      <c r="BL21" s="147" t="s">
        <v>56</v>
      </c>
      <c r="BM21" s="147" t="s">
        <v>56</v>
      </c>
      <c r="BN21" s="147" t="s">
        <v>56</v>
      </c>
      <c r="BO21" s="148" t="s">
        <v>56</v>
      </c>
    </row>
    <row r="22" spans="1:67" ht="15" customHeight="1" x14ac:dyDescent="0.25">
      <c r="A22" s="362" t="s">
        <v>80</v>
      </c>
      <c r="B22" s="120"/>
      <c r="C22" s="121"/>
      <c r="D22" s="360" t="s">
        <v>40</v>
      </c>
      <c r="E22" s="364"/>
      <c r="F22" s="364"/>
      <c r="G22" s="365"/>
      <c r="H22" s="360"/>
      <c r="I22" s="360" t="s">
        <v>25</v>
      </c>
      <c r="J22" s="360"/>
      <c r="K22" s="360"/>
      <c r="L22" s="360"/>
      <c r="M22" s="360"/>
      <c r="N22" s="360" t="s">
        <v>71</v>
      </c>
      <c r="O22" s="360"/>
      <c r="P22" s="360"/>
      <c r="Q22" s="360"/>
      <c r="R22" s="360"/>
      <c r="S22" s="360" t="s">
        <v>72</v>
      </c>
      <c r="T22" s="360"/>
      <c r="U22" s="360"/>
      <c r="V22" s="360"/>
      <c r="W22" s="360"/>
      <c r="X22" s="120"/>
      <c r="Y22" s="121"/>
      <c r="Z22" s="360" t="s">
        <v>40</v>
      </c>
      <c r="AA22" s="360"/>
      <c r="AB22" s="360"/>
      <c r="AC22" s="363"/>
      <c r="AD22" s="360"/>
      <c r="AE22" s="360" t="s">
        <v>25</v>
      </c>
      <c r="AF22" s="360"/>
      <c r="AG22" s="360"/>
      <c r="AH22" s="360"/>
      <c r="AI22" s="360"/>
      <c r="AJ22" s="360" t="s">
        <v>71</v>
      </c>
      <c r="AK22" s="360"/>
      <c r="AL22" s="360"/>
      <c r="AM22" s="360"/>
      <c r="AN22" s="360"/>
      <c r="AO22" s="360" t="s">
        <v>72</v>
      </c>
      <c r="AP22" s="360"/>
      <c r="AQ22" s="360"/>
      <c r="AR22" s="360"/>
      <c r="AS22" s="360"/>
      <c r="AT22" s="120"/>
      <c r="AU22" s="121"/>
      <c r="AV22" s="360" t="s">
        <v>40</v>
      </c>
      <c r="AW22" s="360"/>
      <c r="AX22" s="360"/>
      <c r="AY22" s="363"/>
      <c r="AZ22" s="360"/>
      <c r="BA22" s="360" t="s">
        <v>25</v>
      </c>
      <c r="BB22" s="360"/>
      <c r="BC22" s="360"/>
      <c r="BD22" s="360"/>
      <c r="BE22" s="360"/>
      <c r="BF22" s="360" t="s">
        <v>71</v>
      </c>
      <c r="BG22" s="360"/>
      <c r="BH22" s="360"/>
      <c r="BI22" s="360"/>
      <c r="BJ22" s="360"/>
      <c r="BK22" s="360" t="s">
        <v>72</v>
      </c>
      <c r="BL22" s="360"/>
      <c r="BM22" s="360"/>
      <c r="BN22" s="360"/>
      <c r="BO22" s="360"/>
    </row>
    <row r="23" spans="1:67" ht="45" customHeight="1" x14ac:dyDescent="0.25">
      <c r="A23" s="362"/>
      <c r="B23" s="122"/>
      <c r="C23" s="123"/>
      <c r="D23" s="124">
        <v>2012</v>
      </c>
      <c r="E23" s="124">
        <v>2013</v>
      </c>
      <c r="F23" s="124">
        <v>2014</v>
      </c>
      <c r="G23" s="124">
        <v>2015</v>
      </c>
      <c r="H23" s="124">
        <v>2016</v>
      </c>
      <c r="I23" s="124">
        <v>2012</v>
      </c>
      <c r="J23" s="124">
        <v>2013</v>
      </c>
      <c r="K23" s="124">
        <v>2014</v>
      </c>
      <c r="L23" s="124">
        <v>2015</v>
      </c>
      <c r="M23" s="124">
        <v>2016</v>
      </c>
      <c r="N23" s="124">
        <v>2012</v>
      </c>
      <c r="O23" s="124">
        <v>2013</v>
      </c>
      <c r="P23" s="124">
        <v>2014</v>
      </c>
      <c r="Q23" s="124">
        <v>2015</v>
      </c>
      <c r="R23" s="124">
        <v>2016</v>
      </c>
      <c r="S23" s="124">
        <v>2012</v>
      </c>
      <c r="T23" s="124">
        <v>2013</v>
      </c>
      <c r="U23" s="124">
        <v>2014</v>
      </c>
      <c r="V23" s="124">
        <v>2015</v>
      </c>
      <c r="W23" s="124">
        <v>2016</v>
      </c>
      <c r="X23" s="122"/>
      <c r="Y23" s="123"/>
      <c r="Z23" s="124">
        <v>2012</v>
      </c>
      <c r="AA23" s="124">
        <v>2013</v>
      </c>
      <c r="AB23" s="124">
        <v>2014</v>
      </c>
      <c r="AC23" s="124">
        <v>2015</v>
      </c>
      <c r="AD23" s="124">
        <v>2016</v>
      </c>
      <c r="AE23" s="124">
        <v>2012</v>
      </c>
      <c r="AF23" s="124">
        <v>2013</v>
      </c>
      <c r="AG23" s="124">
        <v>2014</v>
      </c>
      <c r="AH23" s="124">
        <v>2015</v>
      </c>
      <c r="AI23" s="124">
        <v>2016</v>
      </c>
      <c r="AJ23" s="124">
        <v>2012</v>
      </c>
      <c r="AK23" s="124">
        <v>2013</v>
      </c>
      <c r="AL23" s="124">
        <v>2014</v>
      </c>
      <c r="AM23" s="124">
        <v>2015</v>
      </c>
      <c r="AN23" s="124">
        <v>2016</v>
      </c>
      <c r="AO23" s="124">
        <v>2012</v>
      </c>
      <c r="AP23" s="124">
        <v>2013</v>
      </c>
      <c r="AQ23" s="124">
        <v>2014</v>
      </c>
      <c r="AR23" s="124">
        <v>2015</v>
      </c>
      <c r="AS23" s="124">
        <v>2016</v>
      </c>
      <c r="AT23" s="122"/>
      <c r="AU23" s="123"/>
      <c r="AV23" s="124">
        <v>2012</v>
      </c>
      <c r="AW23" s="124">
        <v>2013</v>
      </c>
      <c r="AX23" s="124">
        <v>2014</v>
      </c>
      <c r="AY23" s="124">
        <v>2015</v>
      </c>
      <c r="AZ23" s="124">
        <v>2016</v>
      </c>
      <c r="BA23" s="124">
        <v>2012</v>
      </c>
      <c r="BB23" s="124">
        <v>2013</v>
      </c>
      <c r="BC23" s="124">
        <v>2014</v>
      </c>
      <c r="BD23" s="124">
        <v>2015</v>
      </c>
      <c r="BE23" s="124">
        <v>2016</v>
      </c>
      <c r="BF23" s="124">
        <v>2012</v>
      </c>
      <c r="BG23" s="124">
        <v>2013</v>
      </c>
      <c r="BH23" s="124">
        <v>2014</v>
      </c>
      <c r="BI23" s="124">
        <v>2015</v>
      </c>
      <c r="BJ23" s="124">
        <v>2016</v>
      </c>
      <c r="BK23" s="125">
        <v>2012</v>
      </c>
      <c r="BL23" s="124">
        <v>2013</v>
      </c>
      <c r="BM23" s="124">
        <v>2014</v>
      </c>
      <c r="BN23" s="126">
        <v>2015</v>
      </c>
      <c r="BO23" s="126">
        <v>2016</v>
      </c>
    </row>
    <row r="24" spans="1:67" x14ac:dyDescent="0.25">
      <c r="A24" s="362"/>
      <c r="B24" s="134"/>
      <c r="C24" s="128"/>
      <c r="D24" s="150"/>
      <c r="E24" s="151"/>
      <c r="F24" s="151"/>
      <c r="G24" s="151"/>
      <c r="H24" s="152"/>
      <c r="I24" s="150"/>
      <c r="J24" s="151"/>
      <c r="K24" s="151"/>
      <c r="L24" s="151"/>
      <c r="M24" s="152"/>
      <c r="N24" s="150"/>
      <c r="O24" s="151"/>
      <c r="P24" s="151"/>
      <c r="Q24" s="151"/>
      <c r="R24" s="152"/>
      <c r="S24" s="153"/>
      <c r="T24" s="154"/>
      <c r="U24" s="154"/>
      <c r="V24" s="154"/>
      <c r="W24" s="155"/>
      <c r="X24" s="134"/>
      <c r="Y24" s="128"/>
      <c r="Z24" s="150"/>
      <c r="AA24" s="151"/>
      <c r="AB24" s="151"/>
      <c r="AC24" s="151"/>
      <c r="AD24" s="152"/>
      <c r="AE24" s="150"/>
      <c r="AF24" s="151"/>
      <c r="AG24" s="151"/>
      <c r="AH24" s="151"/>
      <c r="AI24" s="152"/>
      <c r="AJ24" s="150"/>
      <c r="AK24" s="151"/>
      <c r="AL24" s="151"/>
      <c r="AM24" s="151"/>
      <c r="AN24" s="152"/>
      <c r="AO24" s="153"/>
      <c r="AP24" s="154"/>
      <c r="AQ24" s="154"/>
      <c r="AR24" s="154"/>
      <c r="AS24" s="155"/>
      <c r="AT24" s="134"/>
      <c r="AU24" s="128"/>
      <c r="AV24" s="150"/>
      <c r="AW24" s="151"/>
      <c r="AX24" s="151"/>
      <c r="AY24" s="151"/>
      <c r="AZ24" s="152"/>
      <c r="BA24" s="150"/>
      <c r="BB24" s="151"/>
      <c r="BC24" s="151"/>
      <c r="BD24" s="151"/>
      <c r="BE24" s="152"/>
      <c r="BF24" s="150"/>
      <c r="BG24" s="151"/>
      <c r="BH24" s="151"/>
      <c r="BI24" s="151"/>
      <c r="BJ24" s="152"/>
      <c r="BK24" s="153"/>
      <c r="BL24" s="154"/>
      <c r="BM24" s="154"/>
      <c r="BN24" s="154"/>
      <c r="BO24" s="155"/>
    </row>
    <row r="25" spans="1:67" x14ac:dyDescent="0.25">
      <c r="A25" s="362"/>
      <c r="B25" s="37" t="s">
        <v>21</v>
      </c>
      <c r="C25" s="128"/>
      <c r="D25" s="129"/>
      <c r="E25" s="128"/>
      <c r="F25" s="128"/>
      <c r="G25" s="128"/>
      <c r="H25" s="130"/>
      <c r="I25" s="129"/>
      <c r="J25" s="128"/>
      <c r="K25" s="128"/>
      <c r="L25" s="128"/>
      <c r="M25" s="130"/>
      <c r="N25" s="129"/>
      <c r="O25" s="128"/>
      <c r="P25" s="128"/>
      <c r="Q25" s="128"/>
      <c r="R25" s="130"/>
      <c r="S25" s="131"/>
      <c r="T25" s="132"/>
      <c r="U25" s="132"/>
      <c r="V25" s="132"/>
      <c r="W25" s="133"/>
      <c r="X25" s="134" t="s">
        <v>73</v>
      </c>
      <c r="Y25" s="128"/>
      <c r="Z25" s="129"/>
      <c r="AA25" s="128"/>
      <c r="AB25" s="128"/>
      <c r="AC25" s="128"/>
      <c r="AD25" s="130"/>
      <c r="AE25" s="129"/>
      <c r="AF25" s="128"/>
      <c r="AG25" s="128"/>
      <c r="AH25" s="128"/>
      <c r="AI25" s="130"/>
      <c r="AJ25" s="129"/>
      <c r="AK25" s="128"/>
      <c r="AL25" s="128"/>
      <c r="AM25" s="128"/>
      <c r="AN25" s="130"/>
      <c r="AO25" s="131"/>
      <c r="AP25" s="132"/>
      <c r="AQ25" s="132"/>
      <c r="AR25" s="132"/>
      <c r="AS25" s="133"/>
      <c r="AT25" s="134" t="s">
        <v>73</v>
      </c>
      <c r="AU25" s="128"/>
      <c r="AV25" s="129"/>
      <c r="AW25" s="128"/>
      <c r="AX25" s="128"/>
      <c r="AY25" s="128"/>
      <c r="AZ25" s="130"/>
      <c r="BA25" s="129"/>
      <c r="BB25" s="128"/>
      <c r="BC25" s="128"/>
      <c r="BD25" s="128"/>
      <c r="BE25" s="130"/>
      <c r="BF25" s="129"/>
      <c r="BG25" s="128"/>
      <c r="BH25" s="128"/>
      <c r="BI25" s="128"/>
      <c r="BJ25" s="130"/>
      <c r="BK25" s="131"/>
      <c r="BL25" s="132"/>
      <c r="BM25" s="132"/>
      <c r="BN25" s="132"/>
      <c r="BO25" s="133"/>
    </row>
    <row r="26" spans="1:67" x14ac:dyDescent="0.25">
      <c r="A26" s="362"/>
      <c r="B26" s="66" t="s">
        <v>100</v>
      </c>
      <c r="C26" s="128"/>
      <c r="D26" s="129">
        <v>2730</v>
      </c>
      <c r="E26" s="128">
        <v>2730</v>
      </c>
      <c r="F26" s="128">
        <v>2620</v>
      </c>
      <c r="G26" s="128">
        <v>2680</v>
      </c>
      <c r="H26" s="128">
        <v>2660</v>
      </c>
      <c r="I26" s="129">
        <v>321510</v>
      </c>
      <c r="J26" s="128">
        <v>326470</v>
      </c>
      <c r="K26" s="128">
        <v>319650</v>
      </c>
      <c r="L26" s="128">
        <v>316550</v>
      </c>
      <c r="M26" s="128">
        <v>309750</v>
      </c>
      <c r="N26" s="129"/>
      <c r="O26" s="128"/>
      <c r="P26" s="128"/>
      <c r="Q26" s="128"/>
      <c r="R26" s="130"/>
      <c r="S26" s="131" t="s">
        <v>56</v>
      </c>
      <c r="T26" s="132" t="s">
        <v>56</v>
      </c>
      <c r="U26" s="132" t="s">
        <v>56</v>
      </c>
      <c r="V26" s="132" t="s">
        <v>56</v>
      </c>
      <c r="W26" s="133" t="s">
        <v>56</v>
      </c>
      <c r="X26" s="135" t="s">
        <v>74</v>
      </c>
      <c r="Y26" s="128"/>
      <c r="Z26" s="129">
        <v>2140</v>
      </c>
      <c r="AA26" s="128">
        <v>2150</v>
      </c>
      <c r="AB26" s="128">
        <v>2200</v>
      </c>
      <c r="AC26" s="128">
        <v>2280</v>
      </c>
      <c r="AD26" s="128">
        <v>2220</v>
      </c>
      <c r="AE26" s="129">
        <v>304840</v>
      </c>
      <c r="AF26" s="128">
        <v>311360</v>
      </c>
      <c r="AG26" s="128">
        <v>303830</v>
      </c>
      <c r="AH26" s="128">
        <v>300640</v>
      </c>
      <c r="AI26" s="128">
        <v>294730</v>
      </c>
      <c r="AJ26" s="129"/>
      <c r="AK26" s="128"/>
      <c r="AL26" s="128"/>
      <c r="AM26" s="128"/>
      <c r="AN26" s="130"/>
      <c r="AO26" s="131" t="s">
        <v>56</v>
      </c>
      <c r="AP26" s="132" t="s">
        <v>56</v>
      </c>
      <c r="AQ26" s="132" t="s">
        <v>56</v>
      </c>
      <c r="AR26" s="132" t="s">
        <v>56</v>
      </c>
      <c r="AS26" s="133" t="s">
        <v>56</v>
      </c>
      <c r="AT26" s="135" t="s">
        <v>74</v>
      </c>
      <c r="AU26" s="128"/>
      <c r="AV26" s="129">
        <v>4870</v>
      </c>
      <c r="AW26" s="128">
        <v>4880</v>
      </c>
      <c r="AX26" s="128">
        <v>4820</v>
      </c>
      <c r="AY26" s="128">
        <v>4960</v>
      </c>
      <c r="AZ26" s="128">
        <v>4890</v>
      </c>
      <c r="BA26" s="129">
        <v>626350</v>
      </c>
      <c r="BB26" s="128">
        <v>637830</v>
      </c>
      <c r="BC26" s="128">
        <v>623480</v>
      </c>
      <c r="BD26" s="128">
        <v>617180</v>
      </c>
      <c r="BE26" s="128">
        <v>604480</v>
      </c>
      <c r="BF26" s="129"/>
      <c r="BG26" s="128"/>
      <c r="BH26" s="128"/>
      <c r="BI26" s="128"/>
      <c r="BJ26" s="130"/>
      <c r="BK26" s="131" t="s">
        <v>56</v>
      </c>
      <c r="BL26" s="132" t="s">
        <v>56</v>
      </c>
      <c r="BM26" s="132" t="s">
        <v>56</v>
      </c>
      <c r="BN26" s="132" t="s">
        <v>56</v>
      </c>
      <c r="BO26" s="186">
        <v>14040</v>
      </c>
    </row>
    <row r="27" spans="1:67" x14ac:dyDescent="0.25">
      <c r="A27" s="362"/>
      <c r="B27" s="66"/>
      <c r="C27" s="128"/>
      <c r="D27" s="129"/>
      <c r="E27" s="128"/>
      <c r="F27" s="128"/>
      <c r="G27" s="136"/>
      <c r="H27" s="137"/>
      <c r="I27" s="129"/>
      <c r="J27" s="128"/>
      <c r="K27" s="128"/>
      <c r="L27" s="136"/>
      <c r="M27" s="137"/>
      <c r="N27" s="129"/>
      <c r="O27" s="128"/>
      <c r="P27" s="128"/>
      <c r="Q27" s="136"/>
      <c r="R27" s="137"/>
      <c r="S27" s="131"/>
      <c r="T27" s="132"/>
      <c r="U27" s="132"/>
      <c r="V27" s="132"/>
      <c r="W27" s="133"/>
      <c r="X27" s="135"/>
      <c r="Y27" s="128"/>
      <c r="Z27" s="129"/>
      <c r="AA27" s="128"/>
      <c r="AB27" s="128"/>
      <c r="AC27" s="136"/>
      <c r="AD27" s="137"/>
      <c r="AE27" s="129"/>
      <c r="AF27" s="128"/>
      <c r="AG27" s="128"/>
      <c r="AH27" s="136"/>
      <c r="AI27" s="137"/>
      <c r="AJ27" s="129"/>
      <c r="AK27" s="128"/>
      <c r="AL27" s="128"/>
      <c r="AM27" s="136"/>
      <c r="AN27" s="137"/>
      <c r="AO27" s="131"/>
      <c r="AP27" s="132"/>
      <c r="AQ27" s="132"/>
      <c r="AR27" s="132"/>
      <c r="AS27" s="133"/>
      <c r="AT27" s="135"/>
      <c r="AU27" s="128"/>
      <c r="AV27" s="129"/>
      <c r="AW27" s="128"/>
      <c r="AX27" s="128"/>
      <c r="AY27" s="136"/>
      <c r="AZ27" s="137"/>
      <c r="BA27" s="129"/>
      <c r="BB27" s="128"/>
      <c r="BC27" s="128"/>
      <c r="BD27" s="136"/>
      <c r="BE27" s="137"/>
      <c r="BF27" s="129"/>
      <c r="BG27" s="128"/>
      <c r="BH27" s="128"/>
      <c r="BI27" s="136"/>
      <c r="BJ27" s="137"/>
      <c r="BK27" s="131"/>
      <c r="BL27" s="132"/>
      <c r="BM27" s="132"/>
      <c r="BN27" s="132"/>
      <c r="BO27" s="133"/>
    </row>
    <row r="28" spans="1:67" x14ac:dyDescent="0.25">
      <c r="A28" s="362"/>
      <c r="B28" s="67" t="s">
        <v>45</v>
      </c>
      <c r="C28" s="128"/>
      <c r="D28" s="129">
        <v>540</v>
      </c>
      <c r="E28" s="128">
        <v>510</v>
      </c>
      <c r="F28" s="128">
        <v>570</v>
      </c>
      <c r="G28" s="128">
        <v>690</v>
      </c>
      <c r="H28" s="128">
        <v>800</v>
      </c>
      <c r="I28" s="129">
        <v>209830</v>
      </c>
      <c r="J28" s="128">
        <v>217120</v>
      </c>
      <c r="K28" s="128">
        <v>217820</v>
      </c>
      <c r="L28" s="128">
        <v>226740</v>
      </c>
      <c r="M28" s="128">
        <v>226350</v>
      </c>
      <c r="N28" s="129"/>
      <c r="O28" s="128"/>
      <c r="P28" s="128"/>
      <c r="Q28" s="128"/>
      <c r="R28" s="130"/>
      <c r="S28" s="131" t="s">
        <v>56</v>
      </c>
      <c r="T28" s="132" t="s">
        <v>56</v>
      </c>
      <c r="U28" s="132" t="s">
        <v>56</v>
      </c>
      <c r="V28" s="132" t="s">
        <v>56</v>
      </c>
      <c r="W28" s="133" t="s">
        <v>56</v>
      </c>
      <c r="X28" s="138" t="s">
        <v>45</v>
      </c>
      <c r="Y28" s="128"/>
      <c r="Z28" s="129">
        <v>660</v>
      </c>
      <c r="AA28" s="128">
        <v>670</v>
      </c>
      <c r="AB28" s="128">
        <v>770</v>
      </c>
      <c r="AC28" s="128">
        <v>880</v>
      </c>
      <c r="AD28" s="128">
        <v>970</v>
      </c>
      <c r="AE28" s="129">
        <v>226760</v>
      </c>
      <c r="AF28" s="128">
        <v>235940</v>
      </c>
      <c r="AG28" s="128">
        <v>232910</v>
      </c>
      <c r="AH28" s="128">
        <v>237800</v>
      </c>
      <c r="AI28" s="128">
        <v>236440</v>
      </c>
      <c r="AJ28" s="129"/>
      <c r="AK28" s="128"/>
      <c r="AL28" s="128"/>
      <c r="AM28" s="128"/>
      <c r="AN28" s="130"/>
      <c r="AO28" s="131" t="s">
        <v>56</v>
      </c>
      <c r="AP28" s="132" t="s">
        <v>56</v>
      </c>
      <c r="AQ28" s="132" t="s">
        <v>56</v>
      </c>
      <c r="AR28" s="132" t="s">
        <v>56</v>
      </c>
      <c r="AS28" s="133" t="s">
        <v>56</v>
      </c>
      <c r="AT28" s="138" t="s">
        <v>45</v>
      </c>
      <c r="AU28" s="128"/>
      <c r="AV28" s="129">
        <v>1190</v>
      </c>
      <c r="AW28" s="128">
        <v>1180</v>
      </c>
      <c r="AX28" s="128">
        <v>1340</v>
      </c>
      <c r="AY28" s="128">
        <v>1570</v>
      </c>
      <c r="AZ28" s="128">
        <v>1760</v>
      </c>
      <c r="BA28" s="129">
        <v>436590</v>
      </c>
      <c r="BB28" s="128">
        <v>453060</v>
      </c>
      <c r="BC28" s="128">
        <v>450730</v>
      </c>
      <c r="BD28" s="128">
        <v>464540</v>
      </c>
      <c r="BE28" s="128">
        <v>462790</v>
      </c>
      <c r="BF28" s="129"/>
      <c r="BG28" s="128"/>
      <c r="BH28" s="128"/>
      <c r="BI28" s="128"/>
      <c r="BJ28" s="130"/>
      <c r="BK28" s="131" t="s">
        <v>56</v>
      </c>
      <c r="BL28" s="132" t="s">
        <v>56</v>
      </c>
      <c r="BM28" s="132" t="s">
        <v>56</v>
      </c>
      <c r="BN28" s="132" t="s">
        <v>56</v>
      </c>
      <c r="BO28" s="133" t="s">
        <v>56</v>
      </c>
    </row>
    <row r="29" spans="1:67" x14ac:dyDescent="0.25">
      <c r="A29" s="362"/>
      <c r="B29" s="67"/>
      <c r="C29" s="128"/>
      <c r="D29" s="139"/>
      <c r="E29" s="140"/>
      <c r="F29" s="140"/>
      <c r="G29" s="140"/>
      <c r="H29" s="141"/>
      <c r="I29" s="139"/>
      <c r="J29" s="140"/>
      <c r="K29" s="140"/>
      <c r="L29" s="140"/>
      <c r="M29" s="141"/>
      <c r="N29" s="139"/>
      <c r="O29" s="140"/>
      <c r="P29" s="140"/>
      <c r="Q29" s="140"/>
      <c r="R29" s="141"/>
      <c r="S29" s="131"/>
      <c r="T29" s="132"/>
      <c r="U29" s="132"/>
      <c r="V29" s="132"/>
      <c r="W29" s="133"/>
      <c r="X29" s="138"/>
      <c r="Y29" s="128"/>
      <c r="Z29" s="139"/>
      <c r="AA29" s="140"/>
      <c r="AB29" s="140"/>
      <c r="AC29" s="140"/>
      <c r="AD29" s="141"/>
      <c r="AE29" s="139"/>
      <c r="AF29" s="140"/>
      <c r="AG29" s="140"/>
      <c r="AH29" s="140"/>
      <c r="AI29" s="141"/>
      <c r="AJ29" s="139"/>
      <c r="AK29" s="140"/>
      <c r="AL29" s="140"/>
      <c r="AM29" s="140"/>
      <c r="AN29" s="141"/>
      <c r="AO29" s="131"/>
      <c r="AP29" s="132"/>
      <c r="AQ29" s="132"/>
      <c r="AR29" s="132"/>
      <c r="AS29" s="133"/>
      <c r="AT29" s="138"/>
      <c r="AU29" s="128"/>
      <c r="AV29" s="139"/>
      <c r="AW29" s="140"/>
      <c r="AX29" s="140"/>
      <c r="AY29" s="140"/>
      <c r="AZ29" s="141"/>
      <c r="BA29" s="139"/>
      <c r="BB29" s="140"/>
      <c r="BC29" s="140"/>
      <c r="BD29" s="140"/>
      <c r="BE29" s="141"/>
      <c r="BF29" s="139"/>
      <c r="BG29" s="140"/>
      <c r="BH29" s="140"/>
      <c r="BI29" s="140"/>
      <c r="BJ29" s="141"/>
      <c r="BK29" s="131"/>
      <c r="BL29" s="132"/>
      <c r="BM29" s="132"/>
      <c r="BN29" s="132"/>
      <c r="BO29" s="133"/>
    </row>
    <row r="30" spans="1:67" x14ac:dyDescent="0.25">
      <c r="A30" s="362"/>
      <c r="B30" s="67" t="s">
        <v>75</v>
      </c>
      <c r="C30" s="128"/>
      <c r="D30" s="129">
        <v>1820</v>
      </c>
      <c r="E30" s="128">
        <v>1880</v>
      </c>
      <c r="F30" s="128">
        <v>1870</v>
      </c>
      <c r="G30" s="128">
        <v>1800</v>
      </c>
      <c r="H30" s="128">
        <v>1670</v>
      </c>
      <c r="I30" s="129">
        <v>77880</v>
      </c>
      <c r="J30" s="128">
        <v>75190</v>
      </c>
      <c r="K30" s="128">
        <v>72140</v>
      </c>
      <c r="L30" s="128">
        <v>60710</v>
      </c>
      <c r="M30" s="128">
        <v>54400</v>
      </c>
      <c r="N30" s="129"/>
      <c r="O30" s="128"/>
      <c r="P30" s="128"/>
      <c r="Q30" s="128"/>
      <c r="R30" s="130"/>
      <c r="S30" s="131" t="s">
        <v>56</v>
      </c>
      <c r="T30" s="132" t="s">
        <v>56</v>
      </c>
      <c r="U30" s="132" t="s">
        <v>56</v>
      </c>
      <c r="V30" s="132" t="s">
        <v>56</v>
      </c>
      <c r="W30" s="133" t="s">
        <v>56</v>
      </c>
      <c r="X30" s="138" t="s">
        <v>75</v>
      </c>
      <c r="Y30" s="128"/>
      <c r="Z30" s="129">
        <v>1190</v>
      </c>
      <c r="AA30" s="128">
        <v>1190</v>
      </c>
      <c r="AB30" s="128">
        <v>1280</v>
      </c>
      <c r="AC30" s="128">
        <v>1230</v>
      </c>
      <c r="AD30" s="128">
        <v>1060</v>
      </c>
      <c r="AE30" s="129">
        <v>47610</v>
      </c>
      <c r="AF30" s="128">
        <v>44280</v>
      </c>
      <c r="AG30" s="128">
        <v>42460</v>
      </c>
      <c r="AH30" s="128">
        <v>34710</v>
      </c>
      <c r="AI30" s="128">
        <v>30170</v>
      </c>
      <c r="AJ30" s="129"/>
      <c r="AK30" s="128"/>
      <c r="AL30" s="128"/>
      <c r="AM30" s="128"/>
      <c r="AN30" s="130"/>
      <c r="AO30" s="131" t="s">
        <v>56</v>
      </c>
      <c r="AP30" s="132" t="s">
        <v>56</v>
      </c>
      <c r="AQ30" s="132" t="s">
        <v>56</v>
      </c>
      <c r="AR30" s="132" t="s">
        <v>56</v>
      </c>
      <c r="AS30" s="133" t="s">
        <v>56</v>
      </c>
      <c r="AT30" s="138" t="s">
        <v>75</v>
      </c>
      <c r="AU30" s="128"/>
      <c r="AV30" s="129">
        <v>3010</v>
      </c>
      <c r="AW30" s="128">
        <v>3080</v>
      </c>
      <c r="AX30" s="128">
        <v>3150</v>
      </c>
      <c r="AY30" s="128">
        <v>3030</v>
      </c>
      <c r="AZ30" s="128">
        <v>2730</v>
      </c>
      <c r="BA30" s="129">
        <v>125490</v>
      </c>
      <c r="BB30" s="128">
        <v>119470</v>
      </c>
      <c r="BC30" s="128">
        <v>114600</v>
      </c>
      <c r="BD30" s="128">
        <v>95420</v>
      </c>
      <c r="BE30" s="128">
        <v>84570</v>
      </c>
      <c r="BF30" s="129"/>
      <c r="BG30" s="128"/>
      <c r="BH30" s="128"/>
      <c r="BI30" s="128"/>
      <c r="BJ30" s="130"/>
      <c r="BK30" s="131" t="s">
        <v>56</v>
      </c>
      <c r="BL30" s="132" t="s">
        <v>56</v>
      </c>
      <c r="BM30" s="132" t="s">
        <v>56</v>
      </c>
      <c r="BN30" s="132" t="s">
        <v>56</v>
      </c>
      <c r="BO30" s="133" t="s">
        <v>56</v>
      </c>
    </row>
    <row r="31" spans="1:67" x14ac:dyDescent="0.25">
      <c r="A31" s="362"/>
      <c r="B31" s="67" t="s">
        <v>101</v>
      </c>
      <c r="C31" s="128"/>
      <c r="D31" s="129">
        <v>1030</v>
      </c>
      <c r="E31" s="128">
        <v>1120</v>
      </c>
      <c r="F31" s="128">
        <v>1100</v>
      </c>
      <c r="G31" s="128">
        <v>1140</v>
      </c>
      <c r="H31" s="128">
        <v>1040</v>
      </c>
      <c r="I31" s="129">
        <v>16200</v>
      </c>
      <c r="J31" s="128">
        <v>17110</v>
      </c>
      <c r="K31" s="128">
        <v>17000</v>
      </c>
      <c r="L31" s="128">
        <v>16880</v>
      </c>
      <c r="M31" s="128">
        <v>16430</v>
      </c>
      <c r="N31" s="129"/>
      <c r="O31" s="128"/>
      <c r="P31" s="128"/>
      <c r="Q31" s="128"/>
      <c r="R31" s="130"/>
      <c r="S31" s="131" t="s">
        <v>56</v>
      </c>
      <c r="T31" s="132" t="s">
        <v>56</v>
      </c>
      <c r="U31" s="132" t="s">
        <v>56</v>
      </c>
      <c r="V31" s="132" t="s">
        <v>56</v>
      </c>
      <c r="W31" s="133" t="s">
        <v>56</v>
      </c>
      <c r="X31" s="138" t="s">
        <v>76</v>
      </c>
      <c r="Y31" s="128"/>
      <c r="Z31" s="129">
        <v>420</v>
      </c>
      <c r="AA31" s="128">
        <v>390</v>
      </c>
      <c r="AB31" s="128">
        <v>440</v>
      </c>
      <c r="AC31" s="128">
        <v>450</v>
      </c>
      <c r="AD31" s="128">
        <v>420</v>
      </c>
      <c r="AE31" s="129">
        <v>5650</v>
      </c>
      <c r="AF31" s="128">
        <v>5830</v>
      </c>
      <c r="AG31" s="128">
        <v>5850</v>
      </c>
      <c r="AH31" s="128">
        <v>5720</v>
      </c>
      <c r="AI31" s="128">
        <v>5750</v>
      </c>
      <c r="AJ31" s="129"/>
      <c r="AK31" s="128"/>
      <c r="AL31" s="128"/>
      <c r="AM31" s="128"/>
      <c r="AN31" s="130"/>
      <c r="AO31" s="131" t="s">
        <v>56</v>
      </c>
      <c r="AP31" s="132" t="s">
        <v>56</v>
      </c>
      <c r="AQ31" s="132" t="s">
        <v>56</v>
      </c>
      <c r="AR31" s="132" t="s">
        <v>56</v>
      </c>
      <c r="AS31" s="133" t="s">
        <v>56</v>
      </c>
      <c r="AT31" s="138" t="s">
        <v>76</v>
      </c>
      <c r="AU31" s="128"/>
      <c r="AV31" s="129">
        <v>1450</v>
      </c>
      <c r="AW31" s="128">
        <v>1510</v>
      </c>
      <c r="AX31" s="128">
        <v>1550</v>
      </c>
      <c r="AY31" s="128">
        <v>1590</v>
      </c>
      <c r="AZ31" s="128">
        <v>1460</v>
      </c>
      <c r="BA31" s="129">
        <v>21850</v>
      </c>
      <c r="BB31" s="128">
        <v>22940</v>
      </c>
      <c r="BC31" s="128">
        <v>22850</v>
      </c>
      <c r="BD31" s="128">
        <v>22600</v>
      </c>
      <c r="BE31" s="128">
        <v>22190</v>
      </c>
      <c r="BF31" s="129"/>
      <c r="BG31" s="128"/>
      <c r="BH31" s="128"/>
      <c r="BI31" s="128"/>
      <c r="BJ31" s="130"/>
      <c r="BK31" s="131" t="s">
        <v>56</v>
      </c>
      <c r="BL31" s="132" t="s">
        <v>56</v>
      </c>
      <c r="BM31" s="132" t="s">
        <v>56</v>
      </c>
      <c r="BN31" s="132" t="s">
        <v>56</v>
      </c>
      <c r="BO31" s="133" t="s">
        <v>56</v>
      </c>
    </row>
    <row r="32" spans="1:67" x14ac:dyDescent="0.25">
      <c r="A32" s="362"/>
      <c r="B32" s="67" t="s">
        <v>102</v>
      </c>
      <c r="C32" s="142"/>
      <c r="D32" s="129">
        <v>780</v>
      </c>
      <c r="E32" s="128">
        <v>760</v>
      </c>
      <c r="F32" s="128">
        <v>770</v>
      </c>
      <c r="G32" s="128">
        <v>660</v>
      </c>
      <c r="H32" s="128">
        <v>630</v>
      </c>
      <c r="I32" s="129">
        <v>61680</v>
      </c>
      <c r="J32" s="128">
        <v>58080</v>
      </c>
      <c r="K32" s="128">
        <v>55140</v>
      </c>
      <c r="L32" s="128">
        <v>43840</v>
      </c>
      <c r="M32" s="128">
        <v>37970</v>
      </c>
      <c r="N32" s="129"/>
      <c r="O32" s="128"/>
      <c r="P32" s="128"/>
      <c r="Q32" s="128"/>
      <c r="R32" s="130"/>
      <c r="S32" s="131" t="s">
        <v>56</v>
      </c>
      <c r="T32" s="132" t="s">
        <v>56</v>
      </c>
      <c r="U32" s="132" t="s">
        <v>56</v>
      </c>
      <c r="V32" s="132" t="s">
        <v>56</v>
      </c>
      <c r="W32" s="133" t="s">
        <v>56</v>
      </c>
      <c r="X32" s="138" t="s">
        <v>77</v>
      </c>
      <c r="Y32" s="142"/>
      <c r="Z32" s="129">
        <v>770</v>
      </c>
      <c r="AA32" s="128">
        <v>810</v>
      </c>
      <c r="AB32" s="128">
        <v>840</v>
      </c>
      <c r="AC32" s="128">
        <v>780</v>
      </c>
      <c r="AD32" s="128">
        <v>640</v>
      </c>
      <c r="AE32" s="129">
        <v>41960</v>
      </c>
      <c r="AF32" s="128">
        <v>38450</v>
      </c>
      <c r="AG32" s="128">
        <v>36610</v>
      </c>
      <c r="AH32" s="128">
        <v>28980</v>
      </c>
      <c r="AI32" s="128">
        <v>24410</v>
      </c>
      <c r="AJ32" s="129"/>
      <c r="AK32" s="128"/>
      <c r="AL32" s="128"/>
      <c r="AM32" s="128"/>
      <c r="AN32" s="130"/>
      <c r="AO32" s="131" t="s">
        <v>56</v>
      </c>
      <c r="AP32" s="132" t="s">
        <v>56</v>
      </c>
      <c r="AQ32" s="132" t="s">
        <v>56</v>
      </c>
      <c r="AR32" s="132" t="s">
        <v>56</v>
      </c>
      <c r="AS32" s="133" t="s">
        <v>56</v>
      </c>
      <c r="AT32" s="138" t="s">
        <v>77</v>
      </c>
      <c r="AU32" s="142"/>
      <c r="AV32" s="129">
        <v>1560</v>
      </c>
      <c r="AW32" s="128">
        <v>1570</v>
      </c>
      <c r="AX32" s="128">
        <v>1610</v>
      </c>
      <c r="AY32" s="128">
        <v>1440</v>
      </c>
      <c r="AZ32" s="128">
        <v>1270</v>
      </c>
      <c r="BA32" s="129">
        <v>103640</v>
      </c>
      <c r="BB32" s="128">
        <v>96530</v>
      </c>
      <c r="BC32" s="128">
        <v>91750</v>
      </c>
      <c r="BD32" s="128">
        <v>72820</v>
      </c>
      <c r="BE32" s="128">
        <v>62380</v>
      </c>
      <c r="BF32" s="129"/>
      <c r="BG32" s="128"/>
      <c r="BH32" s="128"/>
      <c r="BI32" s="128"/>
      <c r="BJ32" s="130"/>
      <c r="BK32" s="131" t="s">
        <v>56</v>
      </c>
      <c r="BL32" s="132" t="s">
        <v>56</v>
      </c>
      <c r="BM32" s="132" t="s">
        <v>56</v>
      </c>
      <c r="BN32" s="132" t="s">
        <v>56</v>
      </c>
      <c r="BO32" s="133" t="s">
        <v>56</v>
      </c>
    </row>
    <row r="33" spans="1:67" x14ac:dyDescent="0.25">
      <c r="A33" s="362"/>
      <c r="B33" s="37"/>
      <c r="C33" s="128"/>
      <c r="D33" s="129"/>
      <c r="E33" s="128"/>
      <c r="F33" s="128"/>
      <c r="G33" s="128"/>
      <c r="H33" s="130"/>
      <c r="I33" s="129"/>
      <c r="J33" s="128"/>
      <c r="K33" s="128"/>
      <c r="L33" s="128"/>
      <c r="M33" s="130"/>
      <c r="N33" s="129"/>
      <c r="O33" s="128"/>
      <c r="P33" s="128"/>
      <c r="Q33" s="128"/>
      <c r="R33" s="130"/>
      <c r="S33" s="131"/>
      <c r="T33" s="132"/>
      <c r="U33" s="132"/>
      <c r="V33" s="132"/>
      <c r="W33" s="133"/>
      <c r="X33" s="134"/>
      <c r="Y33" s="128"/>
      <c r="Z33" s="129"/>
      <c r="AA33" s="128"/>
      <c r="AB33" s="128"/>
      <c r="AC33" s="128"/>
      <c r="AD33" s="130"/>
      <c r="AE33" s="129"/>
      <c r="AF33" s="128"/>
      <c r="AG33" s="128"/>
      <c r="AH33" s="128"/>
      <c r="AI33" s="130"/>
      <c r="AJ33" s="129"/>
      <c r="AK33" s="128"/>
      <c r="AL33" s="128"/>
      <c r="AM33" s="128"/>
      <c r="AN33" s="130"/>
      <c r="AO33" s="131"/>
      <c r="AP33" s="132"/>
      <c r="AQ33" s="132"/>
      <c r="AR33" s="132"/>
      <c r="AS33" s="133"/>
      <c r="AT33" s="134"/>
      <c r="AU33" s="128"/>
      <c r="AV33" s="129"/>
      <c r="AW33" s="128"/>
      <c r="AX33" s="128"/>
      <c r="AY33" s="128"/>
      <c r="AZ33" s="130"/>
      <c r="BA33" s="129"/>
      <c r="BB33" s="128"/>
      <c r="BC33" s="128"/>
      <c r="BD33" s="128"/>
      <c r="BE33" s="130"/>
      <c r="BF33" s="129"/>
      <c r="BG33" s="128"/>
      <c r="BH33" s="128"/>
      <c r="BI33" s="128"/>
      <c r="BJ33" s="130"/>
      <c r="BK33" s="131"/>
      <c r="BL33" s="132"/>
      <c r="BM33" s="132"/>
      <c r="BN33" s="132"/>
      <c r="BO33" s="133"/>
    </row>
    <row r="34" spans="1:67" x14ac:dyDescent="0.25">
      <c r="A34" s="362"/>
      <c r="B34" s="37" t="s">
        <v>78</v>
      </c>
      <c r="C34" s="128"/>
      <c r="D34" s="129"/>
      <c r="E34" s="128"/>
      <c r="F34" s="128"/>
      <c r="G34" s="128"/>
      <c r="H34" s="130"/>
      <c r="I34" s="129"/>
      <c r="J34" s="128"/>
      <c r="K34" s="128"/>
      <c r="L34" s="128"/>
      <c r="M34" s="130"/>
      <c r="N34" s="129"/>
      <c r="O34" s="128"/>
      <c r="P34" s="128"/>
      <c r="Q34" s="128"/>
      <c r="R34" s="130"/>
      <c r="S34" s="131"/>
      <c r="T34" s="132"/>
      <c r="U34" s="132"/>
      <c r="V34" s="132"/>
      <c r="W34" s="133"/>
      <c r="X34" s="134" t="s">
        <v>79</v>
      </c>
      <c r="Y34" s="128"/>
      <c r="Z34" s="129"/>
      <c r="AA34" s="128"/>
      <c r="AB34" s="128"/>
      <c r="AC34" s="128"/>
      <c r="AD34" s="130"/>
      <c r="AE34" s="129"/>
      <c r="AF34" s="128"/>
      <c r="AG34" s="128"/>
      <c r="AH34" s="128"/>
      <c r="AI34" s="130"/>
      <c r="AJ34" s="129"/>
      <c r="AK34" s="128"/>
      <c r="AL34" s="128"/>
      <c r="AM34" s="128"/>
      <c r="AN34" s="130"/>
      <c r="AO34" s="131"/>
      <c r="AP34" s="132"/>
      <c r="AQ34" s="132"/>
      <c r="AR34" s="132"/>
      <c r="AS34" s="133"/>
      <c r="AT34" s="134" t="s">
        <v>79</v>
      </c>
      <c r="AU34" s="128"/>
      <c r="AV34" s="129"/>
      <c r="AW34" s="128"/>
      <c r="AX34" s="128"/>
      <c r="AY34" s="128"/>
      <c r="AZ34" s="130"/>
      <c r="BA34" s="129"/>
      <c r="BB34" s="128"/>
      <c r="BC34" s="128"/>
      <c r="BD34" s="128"/>
      <c r="BE34" s="130"/>
      <c r="BF34" s="129"/>
      <c r="BG34" s="128"/>
      <c r="BH34" s="128"/>
      <c r="BI34" s="128"/>
      <c r="BJ34" s="130"/>
      <c r="BK34" s="131"/>
      <c r="BL34" s="132"/>
      <c r="BM34" s="132"/>
      <c r="BN34" s="132"/>
      <c r="BO34" s="133"/>
    </row>
    <row r="35" spans="1:67" x14ac:dyDescent="0.25">
      <c r="A35" s="362"/>
      <c r="B35" s="66" t="s">
        <v>100</v>
      </c>
      <c r="C35" s="128"/>
      <c r="D35" s="180">
        <v>2.2999999999999998</v>
      </c>
      <c r="E35" s="76">
        <v>4.5</v>
      </c>
      <c r="F35" s="76">
        <v>5.2</v>
      </c>
      <c r="G35" s="76">
        <v>5.4</v>
      </c>
      <c r="H35" s="76">
        <v>6.5</v>
      </c>
      <c r="I35" s="180">
        <v>22.4</v>
      </c>
      <c r="J35" s="76">
        <v>30.3</v>
      </c>
      <c r="K35" s="76">
        <v>31.6</v>
      </c>
      <c r="L35" s="76">
        <v>31.2</v>
      </c>
      <c r="M35" s="76">
        <v>31.3</v>
      </c>
      <c r="N35" s="129"/>
      <c r="O35" s="128"/>
      <c r="P35" s="128"/>
      <c r="Q35" s="128"/>
      <c r="R35" s="130"/>
      <c r="S35" s="131" t="s">
        <v>56</v>
      </c>
      <c r="T35" s="132" t="s">
        <v>56</v>
      </c>
      <c r="U35" s="132" t="s">
        <v>56</v>
      </c>
      <c r="V35" s="132" t="s">
        <v>56</v>
      </c>
      <c r="W35" s="133" t="s">
        <v>56</v>
      </c>
      <c r="X35" s="135" t="s">
        <v>74</v>
      </c>
      <c r="Y35" s="128"/>
      <c r="Z35" s="180">
        <v>4.5</v>
      </c>
      <c r="AA35" s="76">
        <v>8.5</v>
      </c>
      <c r="AB35" s="76">
        <v>9.1999999999999993</v>
      </c>
      <c r="AC35" s="76">
        <v>10</v>
      </c>
      <c r="AD35" s="76">
        <v>10.3</v>
      </c>
      <c r="AE35" s="180">
        <v>27.5</v>
      </c>
      <c r="AF35" s="76">
        <v>38.9</v>
      </c>
      <c r="AG35" s="76">
        <v>40.5</v>
      </c>
      <c r="AH35" s="76">
        <v>40.5</v>
      </c>
      <c r="AI35" s="76">
        <v>41.9</v>
      </c>
      <c r="AJ35" s="129"/>
      <c r="AK35" s="128"/>
      <c r="AL35" s="128"/>
      <c r="AM35" s="128"/>
      <c r="AN35" s="130"/>
      <c r="AO35" s="131" t="s">
        <v>56</v>
      </c>
      <c r="AP35" s="132" t="s">
        <v>56</v>
      </c>
      <c r="AQ35" s="132" t="s">
        <v>56</v>
      </c>
      <c r="AR35" s="132" t="s">
        <v>56</v>
      </c>
      <c r="AS35" s="133" t="s">
        <v>56</v>
      </c>
      <c r="AT35" s="135" t="s">
        <v>74</v>
      </c>
      <c r="AU35" s="128"/>
      <c r="AV35" s="180">
        <v>3.3</v>
      </c>
      <c r="AW35" s="76">
        <v>6.3</v>
      </c>
      <c r="AX35" s="76">
        <v>7</v>
      </c>
      <c r="AY35" s="76">
        <v>7.5</v>
      </c>
      <c r="AZ35" s="76">
        <v>8.1999999999999993</v>
      </c>
      <c r="BA35" s="180">
        <v>24.9</v>
      </c>
      <c r="BB35" s="76">
        <v>34.5</v>
      </c>
      <c r="BC35" s="76">
        <v>35.9</v>
      </c>
      <c r="BD35" s="76">
        <v>35.700000000000003</v>
      </c>
      <c r="BE35" s="76">
        <v>36.5</v>
      </c>
      <c r="BF35" s="129"/>
      <c r="BG35" s="128"/>
      <c r="BH35" s="128"/>
      <c r="BI35" s="128"/>
      <c r="BJ35" s="130"/>
      <c r="BK35" s="131" t="s">
        <v>56</v>
      </c>
      <c r="BL35" s="132" t="s">
        <v>56</v>
      </c>
      <c r="BM35" s="132" t="s">
        <v>56</v>
      </c>
      <c r="BN35" s="132" t="s">
        <v>56</v>
      </c>
      <c r="BO35" s="187">
        <v>10</v>
      </c>
    </row>
    <row r="36" spans="1:67" x14ac:dyDescent="0.25">
      <c r="A36" s="362"/>
      <c r="B36" s="66"/>
      <c r="C36" s="128"/>
      <c r="D36" s="180"/>
      <c r="E36" s="76"/>
      <c r="F36" s="76"/>
      <c r="G36" s="76"/>
      <c r="H36" s="76"/>
      <c r="I36" s="180"/>
      <c r="J36" s="76"/>
      <c r="K36" s="76"/>
      <c r="L36" s="76"/>
      <c r="M36" s="76"/>
      <c r="N36" s="129"/>
      <c r="O36" s="128"/>
      <c r="P36" s="128"/>
      <c r="Q36" s="136"/>
      <c r="R36" s="137"/>
      <c r="S36" s="131"/>
      <c r="T36" s="132"/>
      <c r="U36" s="132"/>
      <c r="V36" s="132"/>
      <c r="W36" s="133"/>
      <c r="X36" s="135"/>
      <c r="Y36" s="128"/>
      <c r="Z36" s="180"/>
      <c r="AA36" s="76"/>
      <c r="AB36" s="76"/>
      <c r="AC36" s="76"/>
      <c r="AD36" s="76"/>
      <c r="AE36" s="180"/>
      <c r="AF36" s="76"/>
      <c r="AG36" s="76"/>
      <c r="AH36" s="76"/>
      <c r="AI36" s="76"/>
      <c r="AJ36" s="129"/>
      <c r="AK36" s="128"/>
      <c r="AL36" s="128"/>
      <c r="AM36" s="136"/>
      <c r="AN36" s="137"/>
      <c r="AO36" s="131"/>
      <c r="AP36" s="132"/>
      <c r="AQ36" s="132"/>
      <c r="AR36" s="132"/>
      <c r="AS36" s="133"/>
      <c r="AT36" s="135"/>
      <c r="AU36" s="128"/>
      <c r="AV36" s="180"/>
      <c r="AW36" s="76"/>
      <c r="AX36" s="76"/>
      <c r="AY36" s="76"/>
      <c r="AZ36" s="76"/>
      <c r="BA36" s="180"/>
      <c r="BB36" s="76"/>
      <c r="BC36" s="76"/>
      <c r="BD36" s="76"/>
      <c r="BE36" s="76"/>
      <c r="BF36" s="129"/>
      <c r="BG36" s="128"/>
      <c r="BH36" s="128"/>
      <c r="BI36" s="136"/>
      <c r="BJ36" s="137"/>
      <c r="BK36" s="131"/>
      <c r="BL36" s="132"/>
      <c r="BM36" s="132"/>
      <c r="BN36" s="132"/>
      <c r="BO36" s="133"/>
    </row>
    <row r="37" spans="1:67" x14ac:dyDescent="0.25">
      <c r="A37" s="362"/>
      <c r="B37" s="67" t="s">
        <v>45</v>
      </c>
      <c r="C37" s="128"/>
      <c r="D37" s="180">
        <v>7.3</v>
      </c>
      <c r="E37" s="76">
        <v>14.1</v>
      </c>
      <c r="F37" s="76">
        <v>13.5</v>
      </c>
      <c r="G37" s="76">
        <v>13.7</v>
      </c>
      <c r="H37" s="76">
        <v>14</v>
      </c>
      <c r="I37" s="180">
        <v>26.2</v>
      </c>
      <c r="J37" s="76">
        <v>39</v>
      </c>
      <c r="K37" s="76">
        <v>41.7</v>
      </c>
      <c r="L37" s="76">
        <v>40</v>
      </c>
      <c r="M37" s="76">
        <v>39.6</v>
      </c>
      <c r="N37" s="129"/>
      <c r="O37" s="128"/>
      <c r="P37" s="128"/>
      <c r="Q37" s="128"/>
      <c r="R37" s="130"/>
      <c r="S37" s="131" t="s">
        <v>56</v>
      </c>
      <c r="T37" s="132" t="s">
        <v>56</v>
      </c>
      <c r="U37" s="132" t="s">
        <v>56</v>
      </c>
      <c r="V37" s="132" t="s">
        <v>56</v>
      </c>
      <c r="W37" s="133" t="s">
        <v>56</v>
      </c>
      <c r="X37" s="138" t="s">
        <v>45</v>
      </c>
      <c r="Y37" s="128"/>
      <c r="Z37" s="180">
        <v>10.1</v>
      </c>
      <c r="AA37" s="76">
        <v>18.5</v>
      </c>
      <c r="AB37" s="76">
        <v>17</v>
      </c>
      <c r="AC37" s="76">
        <v>20.399999999999999</v>
      </c>
      <c r="AD37" s="76">
        <v>19.2</v>
      </c>
      <c r="AE37" s="180">
        <v>29.6</v>
      </c>
      <c r="AF37" s="76">
        <v>44.7</v>
      </c>
      <c r="AG37" s="76">
        <v>48.3</v>
      </c>
      <c r="AH37" s="76">
        <v>47.6</v>
      </c>
      <c r="AI37" s="76">
        <v>48.8</v>
      </c>
      <c r="AJ37" s="129"/>
      <c r="AK37" s="128"/>
      <c r="AL37" s="128"/>
      <c r="AM37" s="128"/>
      <c r="AN37" s="130"/>
      <c r="AO37" s="131" t="s">
        <v>56</v>
      </c>
      <c r="AP37" s="132" t="s">
        <v>56</v>
      </c>
      <c r="AQ37" s="132" t="s">
        <v>56</v>
      </c>
      <c r="AR37" s="132" t="s">
        <v>56</v>
      </c>
      <c r="AS37" s="133" t="s">
        <v>56</v>
      </c>
      <c r="AT37" s="138" t="s">
        <v>45</v>
      </c>
      <c r="AU37" s="128"/>
      <c r="AV37" s="180">
        <v>8.8000000000000007</v>
      </c>
      <c r="AW37" s="76">
        <v>16.600000000000001</v>
      </c>
      <c r="AX37" s="76">
        <v>15.5</v>
      </c>
      <c r="AY37" s="76">
        <v>17.399999999999999</v>
      </c>
      <c r="AZ37" s="76">
        <v>16.8</v>
      </c>
      <c r="BA37" s="180">
        <v>27.9</v>
      </c>
      <c r="BB37" s="76">
        <v>42</v>
      </c>
      <c r="BC37" s="76">
        <v>45.1</v>
      </c>
      <c r="BD37" s="76">
        <v>43.9</v>
      </c>
      <c r="BE37" s="76">
        <v>44.3</v>
      </c>
      <c r="BF37" s="129"/>
      <c r="BG37" s="128"/>
      <c r="BH37" s="128"/>
      <c r="BI37" s="128"/>
      <c r="BJ37" s="130"/>
      <c r="BK37" s="131" t="s">
        <v>56</v>
      </c>
      <c r="BL37" s="132" t="s">
        <v>56</v>
      </c>
      <c r="BM37" s="132" t="s">
        <v>56</v>
      </c>
      <c r="BN37" s="132" t="s">
        <v>56</v>
      </c>
      <c r="BO37" s="133" t="s">
        <v>56</v>
      </c>
    </row>
    <row r="38" spans="1:67" x14ac:dyDescent="0.25">
      <c r="A38" s="362"/>
      <c r="B38" s="67"/>
      <c r="C38" s="128"/>
      <c r="D38" s="180"/>
      <c r="E38" s="76"/>
      <c r="F38" s="76"/>
      <c r="G38" s="76"/>
      <c r="H38" s="76"/>
      <c r="I38" s="180"/>
      <c r="J38" s="76"/>
      <c r="K38" s="76"/>
      <c r="L38" s="76"/>
      <c r="M38" s="76"/>
      <c r="N38" s="139"/>
      <c r="O38" s="140"/>
      <c r="P38" s="140"/>
      <c r="Q38" s="140"/>
      <c r="R38" s="141"/>
      <c r="S38" s="131"/>
      <c r="T38" s="132"/>
      <c r="U38" s="132"/>
      <c r="V38" s="132"/>
      <c r="W38" s="133"/>
      <c r="X38" s="138"/>
      <c r="Y38" s="128"/>
      <c r="Z38" s="180"/>
      <c r="AA38" s="76"/>
      <c r="AB38" s="76"/>
      <c r="AC38" s="76"/>
      <c r="AD38" s="76"/>
      <c r="AE38" s="180"/>
      <c r="AF38" s="76"/>
      <c r="AG38" s="76"/>
      <c r="AH38" s="76"/>
      <c r="AI38" s="76"/>
      <c r="AJ38" s="139"/>
      <c r="AK38" s="140"/>
      <c r="AL38" s="140"/>
      <c r="AM38" s="140"/>
      <c r="AN38" s="141"/>
      <c r="AO38" s="131"/>
      <c r="AP38" s="132"/>
      <c r="AQ38" s="132"/>
      <c r="AR38" s="132"/>
      <c r="AS38" s="133"/>
      <c r="AT38" s="138"/>
      <c r="AU38" s="128"/>
      <c r="AV38" s="180"/>
      <c r="AW38" s="76"/>
      <c r="AX38" s="76"/>
      <c r="AY38" s="76"/>
      <c r="AZ38" s="76"/>
      <c r="BA38" s="180"/>
      <c r="BB38" s="76"/>
      <c r="BC38" s="76"/>
      <c r="BD38" s="76"/>
      <c r="BE38" s="76"/>
      <c r="BF38" s="139"/>
      <c r="BG38" s="140"/>
      <c r="BH38" s="140"/>
      <c r="BI38" s="140"/>
      <c r="BJ38" s="141"/>
      <c r="BK38" s="131"/>
      <c r="BL38" s="132"/>
      <c r="BM38" s="132"/>
      <c r="BN38" s="132"/>
      <c r="BO38" s="133"/>
    </row>
    <row r="39" spans="1:67" x14ac:dyDescent="0.25">
      <c r="A39" s="362"/>
      <c r="B39" s="67" t="s">
        <v>75</v>
      </c>
      <c r="C39" s="128"/>
      <c r="D39" s="180">
        <v>1.3</v>
      </c>
      <c r="E39" s="76">
        <v>2.8</v>
      </c>
      <c r="F39" s="76">
        <v>3.2</v>
      </c>
      <c r="G39" s="76">
        <v>2.8</v>
      </c>
      <c r="H39" s="76">
        <v>3.7</v>
      </c>
      <c r="I39" s="180">
        <v>5.5</v>
      </c>
      <c r="J39" s="76">
        <v>9</v>
      </c>
      <c r="K39" s="76">
        <v>9.6999999999999993</v>
      </c>
      <c r="L39" s="76">
        <v>8.9</v>
      </c>
      <c r="M39" s="76">
        <v>9.1999999999999993</v>
      </c>
      <c r="N39" s="129"/>
      <c r="O39" s="128"/>
      <c r="P39" s="128"/>
      <c r="Q39" s="128"/>
      <c r="R39" s="130"/>
      <c r="S39" s="131" t="s">
        <v>56</v>
      </c>
      <c r="T39" s="132" t="s">
        <v>56</v>
      </c>
      <c r="U39" s="132" t="s">
        <v>56</v>
      </c>
      <c r="V39" s="132" t="s">
        <v>56</v>
      </c>
      <c r="W39" s="133" t="s">
        <v>56</v>
      </c>
      <c r="X39" s="138" t="s">
        <v>75</v>
      </c>
      <c r="Y39" s="128"/>
      <c r="Z39" s="180">
        <v>2.4</v>
      </c>
      <c r="AA39" s="76">
        <v>4.5999999999999996</v>
      </c>
      <c r="AB39" s="76">
        <v>5.6</v>
      </c>
      <c r="AC39" s="76">
        <v>4</v>
      </c>
      <c r="AD39" s="76">
        <v>4</v>
      </c>
      <c r="AE39" s="180">
        <v>6.8</v>
      </c>
      <c r="AF39" s="76">
        <v>12.3</v>
      </c>
      <c r="AG39" s="76">
        <v>13.2</v>
      </c>
      <c r="AH39" s="76">
        <v>12.6</v>
      </c>
      <c r="AI39" s="76">
        <v>14</v>
      </c>
      <c r="AJ39" s="129"/>
      <c r="AK39" s="128"/>
      <c r="AL39" s="128"/>
      <c r="AM39" s="128"/>
      <c r="AN39" s="130"/>
      <c r="AO39" s="131" t="s">
        <v>56</v>
      </c>
      <c r="AP39" s="132" t="s">
        <v>56</v>
      </c>
      <c r="AQ39" s="132" t="s">
        <v>56</v>
      </c>
      <c r="AR39" s="132" t="s">
        <v>56</v>
      </c>
      <c r="AS39" s="133" t="s">
        <v>56</v>
      </c>
      <c r="AT39" s="138" t="s">
        <v>75</v>
      </c>
      <c r="AU39" s="128"/>
      <c r="AV39" s="180">
        <v>1.7</v>
      </c>
      <c r="AW39" s="76">
        <v>3.5</v>
      </c>
      <c r="AX39" s="76">
        <v>4.0999999999999996</v>
      </c>
      <c r="AY39" s="76">
        <v>3.3</v>
      </c>
      <c r="AZ39" s="76">
        <v>3.8</v>
      </c>
      <c r="BA39" s="180">
        <v>6</v>
      </c>
      <c r="BB39" s="76">
        <v>10.3</v>
      </c>
      <c r="BC39" s="76">
        <v>11</v>
      </c>
      <c r="BD39" s="76">
        <v>10.3</v>
      </c>
      <c r="BE39" s="76">
        <v>10.9</v>
      </c>
      <c r="BF39" s="129"/>
      <c r="BG39" s="128"/>
      <c r="BH39" s="128"/>
      <c r="BI39" s="128"/>
      <c r="BJ39" s="130"/>
      <c r="BK39" s="131" t="s">
        <v>56</v>
      </c>
      <c r="BL39" s="132" t="s">
        <v>56</v>
      </c>
      <c r="BM39" s="132" t="s">
        <v>56</v>
      </c>
      <c r="BN39" s="132" t="s">
        <v>56</v>
      </c>
      <c r="BO39" s="133" t="s">
        <v>56</v>
      </c>
    </row>
    <row r="40" spans="1:67" x14ac:dyDescent="0.25">
      <c r="A40" s="362"/>
      <c r="B40" s="67" t="s">
        <v>101</v>
      </c>
      <c r="C40" s="128"/>
      <c r="D40" s="180" t="s">
        <v>52</v>
      </c>
      <c r="E40" s="76" t="s">
        <v>52</v>
      </c>
      <c r="F40" s="76">
        <v>0.7</v>
      </c>
      <c r="G40" s="76">
        <v>0.9</v>
      </c>
      <c r="H40" s="76">
        <v>1.1000000000000001</v>
      </c>
      <c r="I40" s="180">
        <v>2.4</v>
      </c>
      <c r="J40" s="76">
        <v>3.4</v>
      </c>
      <c r="K40" s="76">
        <v>3.7</v>
      </c>
      <c r="L40" s="76">
        <v>3.5</v>
      </c>
      <c r="M40" s="76">
        <v>3.6</v>
      </c>
      <c r="N40" s="129"/>
      <c r="O40" s="128"/>
      <c r="P40" s="128"/>
      <c r="Q40" s="128"/>
      <c r="R40" s="130"/>
      <c r="S40" s="131" t="s">
        <v>56</v>
      </c>
      <c r="T40" s="132" t="s">
        <v>56</v>
      </c>
      <c r="U40" s="132" t="s">
        <v>56</v>
      </c>
      <c r="V40" s="132" t="s">
        <v>56</v>
      </c>
      <c r="W40" s="133" t="s">
        <v>56</v>
      </c>
      <c r="X40" s="138" t="s">
        <v>76</v>
      </c>
      <c r="Y40" s="128"/>
      <c r="Z40" s="180" t="s">
        <v>52</v>
      </c>
      <c r="AA40" s="76" t="s">
        <v>52</v>
      </c>
      <c r="AB40" s="76" t="s">
        <v>52</v>
      </c>
      <c r="AC40" s="76" t="s">
        <v>52</v>
      </c>
      <c r="AD40" s="76" t="s">
        <v>52</v>
      </c>
      <c r="AE40" s="180">
        <v>2.2999999999999998</v>
      </c>
      <c r="AF40" s="76">
        <v>3.9</v>
      </c>
      <c r="AG40" s="76">
        <v>3.6</v>
      </c>
      <c r="AH40" s="76">
        <v>3.6</v>
      </c>
      <c r="AI40" s="76">
        <v>3.8</v>
      </c>
      <c r="AJ40" s="129"/>
      <c r="AK40" s="128"/>
      <c r="AL40" s="128"/>
      <c r="AM40" s="128"/>
      <c r="AN40" s="130"/>
      <c r="AO40" s="131" t="s">
        <v>56</v>
      </c>
      <c r="AP40" s="132" t="s">
        <v>56</v>
      </c>
      <c r="AQ40" s="132" t="s">
        <v>56</v>
      </c>
      <c r="AR40" s="132" t="s">
        <v>56</v>
      </c>
      <c r="AS40" s="133" t="s">
        <v>56</v>
      </c>
      <c r="AT40" s="138" t="s">
        <v>76</v>
      </c>
      <c r="AU40" s="128"/>
      <c r="AV40" s="180" t="s">
        <v>52</v>
      </c>
      <c r="AW40" s="76" t="s">
        <v>52</v>
      </c>
      <c r="AX40" s="76">
        <v>0.6</v>
      </c>
      <c r="AY40" s="76">
        <v>0.8</v>
      </c>
      <c r="AZ40" s="76">
        <v>1</v>
      </c>
      <c r="BA40" s="180">
        <v>2.4</v>
      </c>
      <c r="BB40" s="76">
        <v>3.5</v>
      </c>
      <c r="BC40" s="76">
        <v>3.7</v>
      </c>
      <c r="BD40" s="76">
        <v>3.6</v>
      </c>
      <c r="BE40" s="76">
        <v>3.7</v>
      </c>
      <c r="BF40" s="129"/>
      <c r="BG40" s="128"/>
      <c r="BH40" s="128"/>
      <c r="BI40" s="128"/>
      <c r="BJ40" s="130"/>
      <c r="BK40" s="131" t="s">
        <v>56</v>
      </c>
      <c r="BL40" s="132" t="s">
        <v>56</v>
      </c>
      <c r="BM40" s="132" t="s">
        <v>56</v>
      </c>
      <c r="BN40" s="132" t="s">
        <v>56</v>
      </c>
      <c r="BO40" s="133" t="s">
        <v>56</v>
      </c>
    </row>
    <row r="41" spans="1:67" x14ac:dyDescent="0.25">
      <c r="A41" s="362"/>
      <c r="B41" s="72" t="s">
        <v>102</v>
      </c>
      <c r="C41" s="143"/>
      <c r="D41" s="180">
        <v>2.9</v>
      </c>
      <c r="E41" s="181">
        <v>6.6</v>
      </c>
      <c r="F41" s="181">
        <v>6.6</v>
      </c>
      <c r="G41" s="181">
        <v>6.1</v>
      </c>
      <c r="H41" s="76">
        <v>7.9</v>
      </c>
      <c r="I41" s="180">
        <v>6.3</v>
      </c>
      <c r="J41" s="181">
        <v>10.7</v>
      </c>
      <c r="K41" s="181">
        <v>11.5</v>
      </c>
      <c r="L41" s="181">
        <v>11</v>
      </c>
      <c r="M41" s="76">
        <v>11.5</v>
      </c>
      <c r="N41" s="144"/>
      <c r="O41" s="123"/>
      <c r="P41" s="123"/>
      <c r="Q41" s="123"/>
      <c r="R41" s="145"/>
      <c r="S41" s="146" t="s">
        <v>56</v>
      </c>
      <c r="T41" s="147" t="s">
        <v>56</v>
      </c>
      <c r="U41" s="147" t="s">
        <v>56</v>
      </c>
      <c r="V41" s="147" t="s">
        <v>56</v>
      </c>
      <c r="W41" s="148" t="s">
        <v>56</v>
      </c>
      <c r="X41" s="149" t="s">
        <v>77</v>
      </c>
      <c r="Y41" s="143"/>
      <c r="Z41" s="180">
        <v>3.2</v>
      </c>
      <c r="AA41" s="181">
        <v>6.5</v>
      </c>
      <c r="AB41" s="181">
        <v>8.1999999999999993</v>
      </c>
      <c r="AC41" s="181">
        <v>5.9</v>
      </c>
      <c r="AD41" s="76">
        <v>6</v>
      </c>
      <c r="AE41" s="180">
        <v>7.4</v>
      </c>
      <c r="AF41" s="181">
        <v>13.6</v>
      </c>
      <c r="AG41" s="181">
        <v>14.7</v>
      </c>
      <c r="AH41" s="181">
        <v>14.4</v>
      </c>
      <c r="AI41" s="76">
        <v>16.399999999999999</v>
      </c>
      <c r="AJ41" s="144"/>
      <c r="AK41" s="123"/>
      <c r="AL41" s="123"/>
      <c r="AM41" s="123"/>
      <c r="AN41" s="145"/>
      <c r="AO41" s="146" t="s">
        <v>56</v>
      </c>
      <c r="AP41" s="147" t="s">
        <v>56</v>
      </c>
      <c r="AQ41" s="147" t="s">
        <v>56</v>
      </c>
      <c r="AR41" s="147" t="s">
        <v>56</v>
      </c>
      <c r="AS41" s="148" t="s">
        <v>56</v>
      </c>
      <c r="AT41" s="149" t="s">
        <v>77</v>
      </c>
      <c r="AU41" s="143"/>
      <c r="AV41" s="180">
        <v>3.1</v>
      </c>
      <c r="AW41" s="181">
        <v>6.5</v>
      </c>
      <c r="AX41" s="181">
        <v>7.5</v>
      </c>
      <c r="AY41" s="181">
        <v>6</v>
      </c>
      <c r="AZ41" s="76">
        <v>6.9</v>
      </c>
      <c r="BA41" s="180">
        <v>6.8</v>
      </c>
      <c r="BB41" s="181">
        <v>11.9</v>
      </c>
      <c r="BC41" s="181">
        <v>12.8</v>
      </c>
      <c r="BD41" s="181">
        <v>12.3</v>
      </c>
      <c r="BE41" s="76">
        <v>13.4</v>
      </c>
      <c r="BF41" s="144"/>
      <c r="BG41" s="123"/>
      <c r="BH41" s="123"/>
      <c r="BI41" s="123"/>
      <c r="BJ41" s="145"/>
      <c r="BK41" s="146" t="s">
        <v>56</v>
      </c>
      <c r="BL41" s="147" t="s">
        <v>56</v>
      </c>
      <c r="BM41" s="147" t="s">
        <v>56</v>
      </c>
      <c r="BN41" s="147" t="s">
        <v>56</v>
      </c>
      <c r="BO41" s="148" t="s">
        <v>56</v>
      </c>
    </row>
    <row r="42" spans="1:67" ht="15" customHeight="1" x14ac:dyDescent="0.25">
      <c r="A42" s="362" t="s">
        <v>81</v>
      </c>
      <c r="B42" s="120"/>
      <c r="C42" s="121"/>
      <c r="D42" s="360" t="s">
        <v>40</v>
      </c>
      <c r="E42" s="360"/>
      <c r="F42" s="360"/>
      <c r="G42" s="363"/>
      <c r="H42" s="360"/>
      <c r="I42" s="360" t="s">
        <v>25</v>
      </c>
      <c r="J42" s="360"/>
      <c r="K42" s="360"/>
      <c r="L42" s="360"/>
      <c r="M42" s="360"/>
      <c r="N42" s="360" t="s">
        <v>71</v>
      </c>
      <c r="O42" s="360"/>
      <c r="P42" s="360"/>
      <c r="Q42" s="360"/>
      <c r="R42" s="360"/>
      <c r="S42" s="360" t="s">
        <v>72</v>
      </c>
      <c r="T42" s="360"/>
      <c r="U42" s="360"/>
      <c r="V42" s="360"/>
      <c r="W42" s="360"/>
      <c r="X42" s="120"/>
      <c r="Y42" s="121"/>
      <c r="Z42" s="360" t="s">
        <v>40</v>
      </c>
      <c r="AA42" s="360"/>
      <c r="AB42" s="360"/>
      <c r="AC42" s="363"/>
      <c r="AD42" s="360"/>
      <c r="AE42" s="360" t="s">
        <v>25</v>
      </c>
      <c r="AF42" s="360"/>
      <c r="AG42" s="360"/>
      <c r="AH42" s="360"/>
      <c r="AI42" s="360"/>
      <c r="AJ42" s="360" t="s">
        <v>71</v>
      </c>
      <c r="AK42" s="360"/>
      <c r="AL42" s="360"/>
      <c r="AM42" s="360"/>
      <c r="AN42" s="360"/>
      <c r="AO42" s="360" t="s">
        <v>72</v>
      </c>
      <c r="AP42" s="360"/>
      <c r="AQ42" s="360"/>
      <c r="AR42" s="360"/>
      <c r="AS42" s="360"/>
      <c r="AT42" s="120"/>
      <c r="AU42" s="121"/>
      <c r="AV42" s="360" t="s">
        <v>40</v>
      </c>
      <c r="AW42" s="360"/>
      <c r="AX42" s="360"/>
      <c r="AY42" s="363"/>
      <c r="AZ42" s="360"/>
      <c r="BA42" s="360" t="s">
        <v>25</v>
      </c>
      <c r="BB42" s="360"/>
      <c r="BC42" s="360"/>
      <c r="BD42" s="360"/>
      <c r="BE42" s="360"/>
      <c r="BF42" s="360" t="s">
        <v>71</v>
      </c>
      <c r="BG42" s="360"/>
      <c r="BH42" s="360"/>
      <c r="BI42" s="360"/>
      <c r="BJ42" s="360"/>
      <c r="BK42" s="360" t="s">
        <v>72</v>
      </c>
      <c r="BL42" s="360"/>
      <c r="BM42" s="360"/>
      <c r="BN42" s="360"/>
      <c r="BO42" s="360"/>
    </row>
    <row r="43" spans="1:67" ht="45" customHeight="1" x14ac:dyDescent="0.25">
      <c r="A43" s="362"/>
      <c r="B43" s="122"/>
      <c r="C43" s="123"/>
      <c r="D43" s="124">
        <v>2012</v>
      </c>
      <c r="E43" s="124">
        <v>2013</v>
      </c>
      <c r="F43" s="124">
        <v>2014</v>
      </c>
      <c r="G43" s="124">
        <v>2015</v>
      </c>
      <c r="H43" s="124">
        <v>2016</v>
      </c>
      <c r="I43" s="124">
        <v>2012</v>
      </c>
      <c r="J43" s="124">
        <v>2013</v>
      </c>
      <c r="K43" s="124">
        <v>2014</v>
      </c>
      <c r="L43" s="124">
        <v>2015</v>
      </c>
      <c r="M43" s="124">
        <v>2016</v>
      </c>
      <c r="N43" s="124">
        <v>2012</v>
      </c>
      <c r="O43" s="124">
        <v>2013</v>
      </c>
      <c r="P43" s="124">
        <v>2014</v>
      </c>
      <c r="Q43" s="124">
        <v>2015</v>
      </c>
      <c r="R43" s="124">
        <v>2016</v>
      </c>
      <c r="S43" s="124">
        <v>2012</v>
      </c>
      <c r="T43" s="124">
        <v>2013</v>
      </c>
      <c r="U43" s="124">
        <v>2014</v>
      </c>
      <c r="V43" s="124">
        <v>2015</v>
      </c>
      <c r="W43" s="124">
        <v>2016</v>
      </c>
      <c r="X43" s="122"/>
      <c r="Y43" s="123"/>
      <c r="Z43" s="124">
        <v>2012</v>
      </c>
      <c r="AA43" s="124">
        <v>2013</v>
      </c>
      <c r="AB43" s="124">
        <v>2014</v>
      </c>
      <c r="AC43" s="124">
        <v>2015</v>
      </c>
      <c r="AD43" s="124">
        <v>2016</v>
      </c>
      <c r="AE43" s="124">
        <v>2012</v>
      </c>
      <c r="AF43" s="124">
        <v>2013</v>
      </c>
      <c r="AG43" s="124">
        <v>2014</v>
      </c>
      <c r="AH43" s="124">
        <v>2015</v>
      </c>
      <c r="AI43" s="124">
        <v>2016</v>
      </c>
      <c r="AJ43" s="124">
        <v>2012</v>
      </c>
      <c r="AK43" s="124">
        <v>2013</v>
      </c>
      <c r="AL43" s="124">
        <v>2014</v>
      </c>
      <c r="AM43" s="124">
        <v>2015</v>
      </c>
      <c r="AN43" s="124">
        <v>2016</v>
      </c>
      <c r="AO43" s="124">
        <v>2012</v>
      </c>
      <c r="AP43" s="124">
        <v>2013</v>
      </c>
      <c r="AQ43" s="124">
        <v>2014</v>
      </c>
      <c r="AR43" s="124">
        <v>2015</v>
      </c>
      <c r="AS43" s="124">
        <v>2016</v>
      </c>
      <c r="AT43" s="122"/>
      <c r="AU43" s="123"/>
      <c r="AV43" s="124">
        <v>2012</v>
      </c>
      <c r="AW43" s="124">
        <v>2013</v>
      </c>
      <c r="AX43" s="124">
        <v>2014</v>
      </c>
      <c r="AY43" s="124">
        <v>2015</v>
      </c>
      <c r="AZ43" s="124">
        <v>2016</v>
      </c>
      <c r="BA43" s="124">
        <v>2012</v>
      </c>
      <c r="BB43" s="124">
        <v>2013</v>
      </c>
      <c r="BC43" s="124">
        <v>2014</v>
      </c>
      <c r="BD43" s="124">
        <v>2015</v>
      </c>
      <c r="BE43" s="124">
        <v>2016</v>
      </c>
      <c r="BF43" s="124">
        <v>2012</v>
      </c>
      <c r="BG43" s="124">
        <v>2013</v>
      </c>
      <c r="BH43" s="124">
        <v>2014</v>
      </c>
      <c r="BI43" s="124">
        <v>2015</v>
      </c>
      <c r="BJ43" s="124">
        <v>2016</v>
      </c>
      <c r="BK43" s="125">
        <v>2012</v>
      </c>
      <c r="BL43" s="124">
        <v>2013</v>
      </c>
      <c r="BM43" s="124">
        <v>2014</v>
      </c>
      <c r="BN43" s="126">
        <v>2015</v>
      </c>
      <c r="BO43" s="126">
        <v>2016</v>
      </c>
    </row>
    <row r="44" spans="1:67" x14ac:dyDescent="0.25">
      <c r="A44" s="362"/>
      <c r="B44" s="134"/>
      <c r="C44" s="128"/>
      <c r="D44" s="150"/>
      <c r="E44" s="151"/>
      <c r="F44" s="151"/>
      <c r="G44" s="151"/>
      <c r="H44" s="152"/>
      <c r="I44" s="150"/>
      <c r="J44" s="151"/>
      <c r="K44" s="151"/>
      <c r="L44" s="151"/>
      <c r="M44" s="152"/>
      <c r="N44" s="150"/>
      <c r="O44" s="151"/>
      <c r="P44" s="151"/>
      <c r="Q44" s="151"/>
      <c r="R44" s="152"/>
      <c r="S44" s="153"/>
      <c r="T44" s="154"/>
      <c r="U44" s="154"/>
      <c r="V44" s="154"/>
      <c r="W44" s="155"/>
      <c r="X44" s="134"/>
      <c r="Y44" s="128"/>
      <c r="Z44" s="150"/>
      <c r="AA44" s="151"/>
      <c r="AB44" s="151"/>
      <c r="AC44" s="151"/>
      <c r="AD44" s="152"/>
      <c r="AE44" s="150"/>
      <c r="AF44" s="151"/>
      <c r="AG44" s="151"/>
      <c r="AH44" s="151"/>
      <c r="AI44" s="152"/>
      <c r="AJ44" s="150"/>
      <c r="AK44" s="151"/>
      <c r="AL44" s="151"/>
      <c r="AM44" s="151"/>
      <c r="AN44" s="152"/>
      <c r="AO44" s="153"/>
      <c r="AP44" s="154"/>
      <c r="AQ44" s="154"/>
      <c r="AR44" s="154"/>
      <c r="AS44" s="155"/>
      <c r="AT44" s="134"/>
      <c r="AU44" s="128"/>
      <c r="AV44" s="150"/>
      <c r="AW44" s="151"/>
      <c r="AX44" s="151"/>
      <c r="AY44" s="151"/>
      <c r="AZ44" s="152"/>
      <c r="BA44" s="150"/>
      <c r="BB44" s="151"/>
      <c r="BC44" s="151"/>
      <c r="BD44" s="151"/>
      <c r="BE44" s="152"/>
      <c r="BF44" s="150"/>
      <c r="BG44" s="151"/>
      <c r="BH44" s="151"/>
      <c r="BI44" s="151"/>
      <c r="BJ44" s="152"/>
      <c r="BK44" s="153"/>
      <c r="BL44" s="154"/>
      <c r="BM44" s="154"/>
      <c r="BN44" s="154"/>
      <c r="BO44" s="155"/>
    </row>
    <row r="45" spans="1:67" x14ac:dyDescent="0.25">
      <c r="A45" s="362"/>
      <c r="B45" s="37" t="s">
        <v>21</v>
      </c>
      <c r="C45" s="128"/>
      <c r="D45" s="129"/>
      <c r="E45" s="128"/>
      <c r="F45" s="128"/>
      <c r="G45" s="128"/>
      <c r="H45" s="130"/>
      <c r="I45" s="129"/>
      <c r="J45" s="128"/>
      <c r="K45" s="128"/>
      <c r="L45" s="128"/>
      <c r="M45" s="130"/>
      <c r="N45" s="129"/>
      <c r="O45" s="128"/>
      <c r="P45" s="128"/>
      <c r="Q45" s="128"/>
      <c r="R45" s="130"/>
      <c r="S45" s="131"/>
      <c r="T45" s="132"/>
      <c r="U45" s="132"/>
      <c r="V45" s="132"/>
      <c r="W45" s="133"/>
      <c r="X45" s="134" t="s">
        <v>73</v>
      </c>
      <c r="Y45" s="128"/>
      <c r="Z45" s="129"/>
      <c r="AA45" s="128"/>
      <c r="AB45" s="128"/>
      <c r="AC45" s="128"/>
      <c r="AD45" s="130"/>
      <c r="AE45" s="129"/>
      <c r="AF45" s="128"/>
      <c r="AG45" s="128"/>
      <c r="AH45" s="128"/>
      <c r="AI45" s="130"/>
      <c r="AJ45" s="129"/>
      <c r="AK45" s="128"/>
      <c r="AL45" s="128"/>
      <c r="AM45" s="128"/>
      <c r="AN45" s="130"/>
      <c r="AO45" s="131"/>
      <c r="AP45" s="132"/>
      <c r="AQ45" s="132"/>
      <c r="AR45" s="132"/>
      <c r="AS45" s="133"/>
      <c r="AT45" s="134" t="s">
        <v>73</v>
      </c>
      <c r="AU45" s="128"/>
      <c r="AV45" s="129"/>
      <c r="AW45" s="128"/>
      <c r="AX45" s="128"/>
      <c r="AY45" s="128"/>
      <c r="AZ45" s="130"/>
      <c r="BA45" s="129"/>
      <c r="BB45" s="128"/>
      <c r="BC45" s="128"/>
      <c r="BD45" s="128"/>
      <c r="BE45" s="130"/>
      <c r="BF45" s="129"/>
      <c r="BG45" s="128"/>
      <c r="BH45" s="128"/>
      <c r="BI45" s="128"/>
      <c r="BJ45" s="130"/>
      <c r="BK45" s="131"/>
      <c r="BL45" s="132"/>
      <c r="BM45" s="132"/>
      <c r="BN45" s="132"/>
      <c r="BO45" s="133"/>
    </row>
    <row r="46" spans="1:67" x14ac:dyDescent="0.25">
      <c r="A46" s="362"/>
      <c r="B46" s="66" t="s">
        <v>100</v>
      </c>
      <c r="C46" s="128"/>
      <c r="D46" s="129">
        <v>2730</v>
      </c>
      <c r="E46" s="128">
        <v>2730</v>
      </c>
      <c r="F46" s="128">
        <v>2620</v>
      </c>
      <c r="G46" s="128">
        <v>2680</v>
      </c>
      <c r="H46" s="128">
        <v>2660</v>
      </c>
      <c r="I46" s="129">
        <v>321510</v>
      </c>
      <c r="J46" s="128">
        <v>326470</v>
      </c>
      <c r="K46" s="128">
        <v>319650</v>
      </c>
      <c r="L46" s="128">
        <v>316550</v>
      </c>
      <c r="M46" s="128">
        <v>309750</v>
      </c>
      <c r="N46" s="129"/>
      <c r="O46" s="128"/>
      <c r="P46" s="128"/>
      <c r="Q46" s="128"/>
      <c r="R46" s="130"/>
      <c r="S46" s="131" t="s">
        <v>56</v>
      </c>
      <c r="T46" s="132" t="s">
        <v>56</v>
      </c>
      <c r="U46" s="132" t="s">
        <v>56</v>
      </c>
      <c r="V46" s="132" t="s">
        <v>56</v>
      </c>
      <c r="W46" s="133" t="s">
        <v>56</v>
      </c>
      <c r="X46" s="135" t="s">
        <v>74</v>
      </c>
      <c r="Y46" s="128"/>
      <c r="Z46" s="129">
        <v>2140</v>
      </c>
      <c r="AA46" s="128">
        <v>2150</v>
      </c>
      <c r="AB46" s="128">
        <v>2200</v>
      </c>
      <c r="AC46" s="128">
        <v>2280</v>
      </c>
      <c r="AD46" s="128">
        <v>2220</v>
      </c>
      <c r="AE46" s="129">
        <v>304840</v>
      </c>
      <c r="AF46" s="128">
        <v>311360</v>
      </c>
      <c r="AG46" s="128">
        <v>303830</v>
      </c>
      <c r="AH46" s="128">
        <v>300640</v>
      </c>
      <c r="AI46" s="128">
        <v>294730</v>
      </c>
      <c r="AJ46" s="129"/>
      <c r="AK46" s="128"/>
      <c r="AL46" s="128"/>
      <c r="AM46" s="128"/>
      <c r="AN46" s="130"/>
      <c r="AO46" s="131" t="s">
        <v>56</v>
      </c>
      <c r="AP46" s="132" t="s">
        <v>56</v>
      </c>
      <c r="AQ46" s="132" t="s">
        <v>56</v>
      </c>
      <c r="AR46" s="132" t="s">
        <v>56</v>
      </c>
      <c r="AS46" s="133" t="s">
        <v>56</v>
      </c>
      <c r="AT46" s="135" t="s">
        <v>74</v>
      </c>
      <c r="AU46" s="128"/>
      <c r="AV46" s="129">
        <v>4870</v>
      </c>
      <c r="AW46" s="128">
        <v>4880</v>
      </c>
      <c r="AX46" s="128">
        <v>4820</v>
      </c>
      <c r="AY46" s="128">
        <v>4960</v>
      </c>
      <c r="AZ46" s="128">
        <v>4890</v>
      </c>
      <c r="BA46" s="129">
        <v>626350</v>
      </c>
      <c r="BB46" s="128">
        <v>637830</v>
      </c>
      <c r="BC46" s="128">
        <v>623480</v>
      </c>
      <c r="BD46" s="128">
        <v>617180</v>
      </c>
      <c r="BE46" s="128">
        <v>604480</v>
      </c>
      <c r="BF46" s="129"/>
      <c r="BG46" s="128"/>
      <c r="BH46" s="128"/>
      <c r="BI46" s="128"/>
      <c r="BJ46" s="130"/>
      <c r="BK46" s="131" t="s">
        <v>56</v>
      </c>
      <c r="BL46" s="132" t="s">
        <v>56</v>
      </c>
      <c r="BM46" s="132" t="s">
        <v>56</v>
      </c>
      <c r="BN46" s="132" t="s">
        <v>56</v>
      </c>
      <c r="BO46" s="186">
        <v>14040</v>
      </c>
    </row>
    <row r="47" spans="1:67" x14ac:dyDescent="0.25">
      <c r="A47" s="362"/>
      <c r="B47" s="66"/>
      <c r="C47" s="128"/>
      <c r="D47" s="129"/>
      <c r="E47" s="128"/>
      <c r="F47" s="128"/>
      <c r="G47" s="136"/>
      <c r="H47" s="137"/>
      <c r="I47" s="129"/>
      <c r="J47" s="128"/>
      <c r="K47" s="128"/>
      <c r="L47" s="136"/>
      <c r="M47" s="137"/>
      <c r="N47" s="129"/>
      <c r="O47" s="128"/>
      <c r="P47" s="128"/>
      <c r="Q47" s="136"/>
      <c r="R47" s="137"/>
      <c r="S47" s="131"/>
      <c r="T47" s="132"/>
      <c r="U47" s="132"/>
      <c r="V47" s="132"/>
      <c r="W47" s="133"/>
      <c r="X47" s="135"/>
      <c r="Y47" s="128"/>
      <c r="Z47" s="129"/>
      <c r="AA47" s="128"/>
      <c r="AB47" s="128"/>
      <c r="AC47" s="136"/>
      <c r="AD47" s="137"/>
      <c r="AE47" s="129"/>
      <c r="AF47" s="128"/>
      <c r="AG47" s="128"/>
      <c r="AH47" s="136"/>
      <c r="AI47" s="137"/>
      <c r="AJ47" s="129"/>
      <c r="AK47" s="128"/>
      <c r="AL47" s="128"/>
      <c r="AM47" s="136"/>
      <c r="AN47" s="137"/>
      <c r="AO47" s="131"/>
      <c r="AP47" s="132"/>
      <c r="AQ47" s="132"/>
      <c r="AR47" s="132"/>
      <c r="AS47" s="133"/>
      <c r="AT47" s="135"/>
      <c r="AU47" s="128"/>
      <c r="AV47" s="129"/>
      <c r="AW47" s="128"/>
      <c r="AX47" s="128"/>
      <c r="AY47" s="136"/>
      <c r="AZ47" s="137"/>
      <c r="BA47" s="129"/>
      <c r="BB47" s="128"/>
      <c r="BC47" s="128"/>
      <c r="BD47" s="136"/>
      <c r="BE47" s="137"/>
      <c r="BF47" s="129"/>
      <c r="BG47" s="128"/>
      <c r="BH47" s="128"/>
      <c r="BI47" s="136"/>
      <c r="BJ47" s="137"/>
      <c r="BK47" s="131"/>
      <c r="BL47" s="132"/>
      <c r="BM47" s="132"/>
      <c r="BN47" s="132"/>
      <c r="BO47" s="133"/>
    </row>
    <row r="48" spans="1:67" x14ac:dyDescent="0.25">
      <c r="A48" s="362"/>
      <c r="B48" s="67" t="s">
        <v>45</v>
      </c>
      <c r="C48" s="128"/>
      <c r="D48" s="129">
        <v>540</v>
      </c>
      <c r="E48" s="128">
        <v>510</v>
      </c>
      <c r="F48" s="128">
        <v>570</v>
      </c>
      <c r="G48" s="128">
        <v>690</v>
      </c>
      <c r="H48" s="128">
        <v>800</v>
      </c>
      <c r="I48" s="129">
        <v>209830</v>
      </c>
      <c r="J48" s="128">
        <v>217120</v>
      </c>
      <c r="K48" s="128">
        <v>217820</v>
      </c>
      <c r="L48" s="128">
        <v>226740</v>
      </c>
      <c r="M48" s="128">
        <v>226350</v>
      </c>
      <c r="N48" s="129"/>
      <c r="O48" s="128"/>
      <c r="P48" s="128"/>
      <c r="Q48" s="128"/>
      <c r="R48" s="130"/>
      <c r="S48" s="131" t="s">
        <v>56</v>
      </c>
      <c r="T48" s="132" t="s">
        <v>56</v>
      </c>
      <c r="U48" s="132" t="s">
        <v>56</v>
      </c>
      <c r="V48" s="132" t="s">
        <v>56</v>
      </c>
      <c r="W48" s="133" t="s">
        <v>56</v>
      </c>
      <c r="X48" s="138" t="s">
        <v>45</v>
      </c>
      <c r="Y48" s="128"/>
      <c r="Z48" s="129">
        <v>660</v>
      </c>
      <c r="AA48" s="128">
        <v>670</v>
      </c>
      <c r="AB48" s="128">
        <v>770</v>
      </c>
      <c r="AC48" s="128">
        <v>880</v>
      </c>
      <c r="AD48" s="128">
        <v>970</v>
      </c>
      <c r="AE48" s="129">
        <v>226760</v>
      </c>
      <c r="AF48" s="128">
        <v>235940</v>
      </c>
      <c r="AG48" s="128">
        <v>232910</v>
      </c>
      <c r="AH48" s="128">
        <v>237800</v>
      </c>
      <c r="AI48" s="128">
        <v>236440</v>
      </c>
      <c r="AJ48" s="129"/>
      <c r="AK48" s="128"/>
      <c r="AL48" s="128"/>
      <c r="AM48" s="128"/>
      <c r="AN48" s="130"/>
      <c r="AO48" s="131" t="s">
        <v>56</v>
      </c>
      <c r="AP48" s="132" t="s">
        <v>56</v>
      </c>
      <c r="AQ48" s="132" t="s">
        <v>56</v>
      </c>
      <c r="AR48" s="132" t="s">
        <v>56</v>
      </c>
      <c r="AS48" s="133" t="s">
        <v>56</v>
      </c>
      <c r="AT48" s="138" t="s">
        <v>45</v>
      </c>
      <c r="AU48" s="128"/>
      <c r="AV48" s="129">
        <v>1190</v>
      </c>
      <c r="AW48" s="128">
        <v>1180</v>
      </c>
      <c r="AX48" s="128">
        <v>1340</v>
      </c>
      <c r="AY48" s="128">
        <v>1570</v>
      </c>
      <c r="AZ48" s="128">
        <v>1760</v>
      </c>
      <c r="BA48" s="129">
        <v>436590</v>
      </c>
      <c r="BB48" s="128">
        <v>453060</v>
      </c>
      <c r="BC48" s="128">
        <v>450730</v>
      </c>
      <c r="BD48" s="128">
        <v>464540</v>
      </c>
      <c r="BE48" s="128">
        <v>462790</v>
      </c>
      <c r="BF48" s="129"/>
      <c r="BG48" s="128"/>
      <c r="BH48" s="128"/>
      <c r="BI48" s="128"/>
      <c r="BJ48" s="130"/>
      <c r="BK48" s="131" t="s">
        <v>56</v>
      </c>
      <c r="BL48" s="132" t="s">
        <v>56</v>
      </c>
      <c r="BM48" s="132" t="s">
        <v>56</v>
      </c>
      <c r="BN48" s="132" t="s">
        <v>56</v>
      </c>
      <c r="BO48" s="133" t="s">
        <v>56</v>
      </c>
    </row>
    <row r="49" spans="1:67" x14ac:dyDescent="0.25">
      <c r="A49" s="362"/>
      <c r="B49" s="67"/>
      <c r="C49" s="128"/>
      <c r="D49" s="139"/>
      <c r="E49" s="140"/>
      <c r="F49" s="140"/>
      <c r="G49" s="140"/>
      <c r="H49" s="141"/>
      <c r="I49" s="139"/>
      <c r="J49" s="140"/>
      <c r="K49" s="140"/>
      <c r="L49" s="140"/>
      <c r="M49" s="141"/>
      <c r="N49" s="139"/>
      <c r="O49" s="140"/>
      <c r="P49" s="140"/>
      <c r="Q49" s="140"/>
      <c r="R49" s="141"/>
      <c r="S49" s="131"/>
      <c r="T49" s="132"/>
      <c r="U49" s="132"/>
      <c r="V49" s="132"/>
      <c r="W49" s="133"/>
      <c r="X49" s="138"/>
      <c r="Y49" s="128"/>
      <c r="Z49" s="139"/>
      <c r="AA49" s="140"/>
      <c r="AB49" s="140"/>
      <c r="AC49" s="140"/>
      <c r="AD49" s="141"/>
      <c r="AE49" s="139"/>
      <c r="AF49" s="140"/>
      <c r="AG49" s="140"/>
      <c r="AH49" s="140"/>
      <c r="AI49" s="141"/>
      <c r="AJ49" s="139"/>
      <c r="AK49" s="140"/>
      <c r="AL49" s="140"/>
      <c r="AM49" s="140"/>
      <c r="AN49" s="141"/>
      <c r="AO49" s="131"/>
      <c r="AP49" s="132"/>
      <c r="AQ49" s="132"/>
      <c r="AR49" s="132"/>
      <c r="AS49" s="133"/>
      <c r="AT49" s="138"/>
      <c r="AU49" s="128"/>
      <c r="AV49" s="139"/>
      <c r="AW49" s="140"/>
      <c r="AX49" s="140"/>
      <c r="AY49" s="140"/>
      <c r="AZ49" s="141"/>
      <c r="BA49" s="139"/>
      <c r="BB49" s="140"/>
      <c r="BC49" s="140"/>
      <c r="BD49" s="140"/>
      <c r="BE49" s="141"/>
      <c r="BF49" s="139"/>
      <c r="BG49" s="140"/>
      <c r="BH49" s="140"/>
      <c r="BI49" s="140"/>
      <c r="BJ49" s="141"/>
      <c r="BK49" s="131"/>
      <c r="BL49" s="132"/>
      <c r="BM49" s="132"/>
      <c r="BN49" s="132"/>
      <c r="BO49" s="133"/>
    </row>
    <row r="50" spans="1:67" x14ac:dyDescent="0.25">
      <c r="A50" s="362"/>
      <c r="B50" s="67" t="s">
        <v>75</v>
      </c>
      <c r="C50" s="128"/>
      <c r="D50" s="129">
        <v>1820</v>
      </c>
      <c r="E50" s="128">
        <v>1880</v>
      </c>
      <c r="F50" s="128">
        <v>1870</v>
      </c>
      <c r="G50" s="128">
        <v>1800</v>
      </c>
      <c r="H50" s="128">
        <v>1670</v>
      </c>
      <c r="I50" s="129">
        <v>77880</v>
      </c>
      <c r="J50" s="128">
        <v>75190</v>
      </c>
      <c r="K50" s="128">
        <v>72140</v>
      </c>
      <c r="L50" s="128">
        <v>60710</v>
      </c>
      <c r="M50" s="128">
        <v>54400</v>
      </c>
      <c r="N50" s="129"/>
      <c r="O50" s="128"/>
      <c r="P50" s="128"/>
      <c r="Q50" s="128"/>
      <c r="R50" s="130"/>
      <c r="S50" s="131" t="s">
        <v>56</v>
      </c>
      <c r="T50" s="132" t="s">
        <v>56</v>
      </c>
      <c r="U50" s="132" t="s">
        <v>56</v>
      </c>
      <c r="V50" s="132" t="s">
        <v>56</v>
      </c>
      <c r="W50" s="133" t="s">
        <v>56</v>
      </c>
      <c r="X50" s="138" t="s">
        <v>75</v>
      </c>
      <c r="Y50" s="128"/>
      <c r="Z50" s="129">
        <v>1190</v>
      </c>
      <c r="AA50" s="128">
        <v>1190</v>
      </c>
      <c r="AB50" s="128">
        <v>1280</v>
      </c>
      <c r="AC50" s="128">
        <v>1230</v>
      </c>
      <c r="AD50" s="128">
        <v>1060</v>
      </c>
      <c r="AE50" s="129">
        <v>47610</v>
      </c>
      <c r="AF50" s="128">
        <v>44280</v>
      </c>
      <c r="AG50" s="128">
        <v>42460</v>
      </c>
      <c r="AH50" s="128">
        <v>34710</v>
      </c>
      <c r="AI50" s="128">
        <v>30170</v>
      </c>
      <c r="AJ50" s="129"/>
      <c r="AK50" s="128"/>
      <c r="AL50" s="128"/>
      <c r="AM50" s="128"/>
      <c r="AN50" s="130"/>
      <c r="AO50" s="131" t="s">
        <v>56</v>
      </c>
      <c r="AP50" s="132" t="s">
        <v>56</v>
      </c>
      <c r="AQ50" s="132" t="s">
        <v>56</v>
      </c>
      <c r="AR50" s="132" t="s">
        <v>56</v>
      </c>
      <c r="AS50" s="133" t="s">
        <v>56</v>
      </c>
      <c r="AT50" s="138" t="s">
        <v>75</v>
      </c>
      <c r="AU50" s="128"/>
      <c r="AV50" s="129">
        <v>3010</v>
      </c>
      <c r="AW50" s="128">
        <v>3080</v>
      </c>
      <c r="AX50" s="128">
        <v>3150</v>
      </c>
      <c r="AY50" s="128">
        <v>3030</v>
      </c>
      <c r="AZ50" s="128">
        <v>2730</v>
      </c>
      <c r="BA50" s="129">
        <v>125490</v>
      </c>
      <c r="BB50" s="128">
        <v>119470</v>
      </c>
      <c r="BC50" s="128">
        <v>114600</v>
      </c>
      <c r="BD50" s="128">
        <v>95420</v>
      </c>
      <c r="BE50" s="128">
        <v>84570</v>
      </c>
      <c r="BF50" s="129"/>
      <c r="BG50" s="128"/>
      <c r="BH50" s="128"/>
      <c r="BI50" s="128"/>
      <c r="BJ50" s="130"/>
      <c r="BK50" s="131" t="s">
        <v>56</v>
      </c>
      <c r="BL50" s="132" t="s">
        <v>56</v>
      </c>
      <c r="BM50" s="132" t="s">
        <v>56</v>
      </c>
      <c r="BN50" s="132" t="s">
        <v>56</v>
      </c>
      <c r="BO50" s="133" t="s">
        <v>56</v>
      </c>
    </row>
    <row r="51" spans="1:67" x14ac:dyDescent="0.25">
      <c r="A51" s="362"/>
      <c r="B51" s="67" t="s">
        <v>101</v>
      </c>
      <c r="C51" s="128"/>
      <c r="D51" s="129">
        <v>1030</v>
      </c>
      <c r="E51" s="128">
        <v>1120</v>
      </c>
      <c r="F51" s="128">
        <v>1100</v>
      </c>
      <c r="G51" s="128">
        <v>1140</v>
      </c>
      <c r="H51" s="128">
        <v>1040</v>
      </c>
      <c r="I51" s="129">
        <v>16200</v>
      </c>
      <c r="J51" s="128">
        <v>17110</v>
      </c>
      <c r="K51" s="128">
        <v>17000</v>
      </c>
      <c r="L51" s="128">
        <v>16880</v>
      </c>
      <c r="M51" s="128">
        <v>16430</v>
      </c>
      <c r="N51" s="129"/>
      <c r="O51" s="128"/>
      <c r="P51" s="128"/>
      <c r="Q51" s="128"/>
      <c r="R51" s="130"/>
      <c r="S51" s="131" t="s">
        <v>56</v>
      </c>
      <c r="T51" s="132" t="s">
        <v>56</v>
      </c>
      <c r="U51" s="132" t="s">
        <v>56</v>
      </c>
      <c r="V51" s="132" t="s">
        <v>56</v>
      </c>
      <c r="W51" s="133" t="s">
        <v>56</v>
      </c>
      <c r="X51" s="138" t="s">
        <v>76</v>
      </c>
      <c r="Y51" s="128"/>
      <c r="Z51" s="129">
        <v>420</v>
      </c>
      <c r="AA51" s="128">
        <v>390</v>
      </c>
      <c r="AB51" s="128">
        <v>440</v>
      </c>
      <c r="AC51" s="128">
        <v>450</v>
      </c>
      <c r="AD51" s="128">
        <v>420</v>
      </c>
      <c r="AE51" s="129">
        <v>5650</v>
      </c>
      <c r="AF51" s="128">
        <v>5830</v>
      </c>
      <c r="AG51" s="128">
        <v>5850</v>
      </c>
      <c r="AH51" s="128">
        <v>5720</v>
      </c>
      <c r="AI51" s="128">
        <v>5750</v>
      </c>
      <c r="AJ51" s="129"/>
      <c r="AK51" s="128"/>
      <c r="AL51" s="128"/>
      <c r="AM51" s="128"/>
      <c r="AN51" s="130"/>
      <c r="AO51" s="131" t="s">
        <v>56</v>
      </c>
      <c r="AP51" s="132" t="s">
        <v>56</v>
      </c>
      <c r="AQ51" s="132" t="s">
        <v>56</v>
      </c>
      <c r="AR51" s="132" t="s">
        <v>56</v>
      </c>
      <c r="AS51" s="133" t="s">
        <v>56</v>
      </c>
      <c r="AT51" s="138" t="s">
        <v>76</v>
      </c>
      <c r="AU51" s="128"/>
      <c r="AV51" s="129">
        <v>1450</v>
      </c>
      <c r="AW51" s="128">
        <v>1510</v>
      </c>
      <c r="AX51" s="128">
        <v>1550</v>
      </c>
      <c r="AY51" s="128">
        <v>1590</v>
      </c>
      <c r="AZ51" s="128">
        <v>1460</v>
      </c>
      <c r="BA51" s="129">
        <v>21850</v>
      </c>
      <c r="BB51" s="128">
        <v>22940</v>
      </c>
      <c r="BC51" s="128">
        <v>22850</v>
      </c>
      <c r="BD51" s="128">
        <v>22600</v>
      </c>
      <c r="BE51" s="128">
        <v>22190</v>
      </c>
      <c r="BF51" s="129"/>
      <c r="BG51" s="128"/>
      <c r="BH51" s="128"/>
      <c r="BI51" s="128"/>
      <c r="BJ51" s="130"/>
      <c r="BK51" s="131" t="s">
        <v>56</v>
      </c>
      <c r="BL51" s="132" t="s">
        <v>56</v>
      </c>
      <c r="BM51" s="132" t="s">
        <v>56</v>
      </c>
      <c r="BN51" s="132" t="s">
        <v>56</v>
      </c>
      <c r="BO51" s="133" t="s">
        <v>56</v>
      </c>
    </row>
    <row r="52" spans="1:67" x14ac:dyDescent="0.25">
      <c r="A52" s="362"/>
      <c r="B52" s="67" t="s">
        <v>102</v>
      </c>
      <c r="C52" s="142"/>
      <c r="D52" s="129">
        <v>780</v>
      </c>
      <c r="E52" s="128">
        <v>760</v>
      </c>
      <c r="F52" s="128">
        <v>770</v>
      </c>
      <c r="G52" s="128">
        <v>660</v>
      </c>
      <c r="H52" s="128">
        <v>630</v>
      </c>
      <c r="I52" s="129">
        <v>61680</v>
      </c>
      <c r="J52" s="128">
        <v>58080</v>
      </c>
      <c r="K52" s="128">
        <v>55140</v>
      </c>
      <c r="L52" s="128">
        <v>43840</v>
      </c>
      <c r="M52" s="128">
        <v>37970</v>
      </c>
      <c r="N52" s="129"/>
      <c r="O52" s="128"/>
      <c r="P52" s="128"/>
      <c r="Q52" s="128"/>
      <c r="R52" s="130"/>
      <c r="S52" s="131" t="s">
        <v>56</v>
      </c>
      <c r="T52" s="132" t="s">
        <v>56</v>
      </c>
      <c r="U52" s="132" t="s">
        <v>56</v>
      </c>
      <c r="V52" s="132" t="s">
        <v>56</v>
      </c>
      <c r="W52" s="133" t="s">
        <v>56</v>
      </c>
      <c r="X52" s="138" t="s">
        <v>77</v>
      </c>
      <c r="Y52" s="142"/>
      <c r="Z52" s="129">
        <v>770</v>
      </c>
      <c r="AA52" s="128">
        <v>810</v>
      </c>
      <c r="AB52" s="128">
        <v>840</v>
      </c>
      <c r="AC52" s="128">
        <v>780</v>
      </c>
      <c r="AD52" s="128">
        <v>640</v>
      </c>
      <c r="AE52" s="129">
        <v>41960</v>
      </c>
      <c r="AF52" s="128">
        <v>38450</v>
      </c>
      <c r="AG52" s="128">
        <v>36610</v>
      </c>
      <c r="AH52" s="128">
        <v>28980</v>
      </c>
      <c r="AI52" s="128">
        <v>24410</v>
      </c>
      <c r="AJ52" s="129"/>
      <c r="AK52" s="128"/>
      <c r="AL52" s="128"/>
      <c r="AM52" s="128"/>
      <c r="AN52" s="130"/>
      <c r="AO52" s="131" t="s">
        <v>56</v>
      </c>
      <c r="AP52" s="132" t="s">
        <v>56</v>
      </c>
      <c r="AQ52" s="132" t="s">
        <v>56</v>
      </c>
      <c r="AR52" s="132" t="s">
        <v>56</v>
      </c>
      <c r="AS52" s="133" t="s">
        <v>56</v>
      </c>
      <c r="AT52" s="138" t="s">
        <v>77</v>
      </c>
      <c r="AU52" s="142"/>
      <c r="AV52" s="129">
        <v>1560</v>
      </c>
      <c r="AW52" s="128">
        <v>1570</v>
      </c>
      <c r="AX52" s="128">
        <v>1610</v>
      </c>
      <c r="AY52" s="128">
        <v>1440</v>
      </c>
      <c r="AZ52" s="128">
        <v>1270</v>
      </c>
      <c r="BA52" s="129">
        <v>103640</v>
      </c>
      <c r="BB52" s="128">
        <v>96530</v>
      </c>
      <c r="BC52" s="128">
        <v>91750</v>
      </c>
      <c r="BD52" s="128">
        <v>72820</v>
      </c>
      <c r="BE52" s="128">
        <v>62380</v>
      </c>
      <c r="BF52" s="129"/>
      <c r="BG52" s="128"/>
      <c r="BH52" s="128"/>
      <c r="BI52" s="128"/>
      <c r="BJ52" s="130"/>
      <c r="BK52" s="131" t="s">
        <v>56</v>
      </c>
      <c r="BL52" s="132" t="s">
        <v>56</v>
      </c>
      <c r="BM52" s="132" t="s">
        <v>56</v>
      </c>
      <c r="BN52" s="132" t="s">
        <v>56</v>
      </c>
      <c r="BO52" s="133" t="s">
        <v>56</v>
      </c>
    </row>
    <row r="53" spans="1:67" x14ac:dyDescent="0.25">
      <c r="A53" s="362"/>
      <c r="B53" s="37"/>
      <c r="C53" s="128"/>
      <c r="D53" s="129"/>
      <c r="E53" s="128"/>
      <c r="F53" s="128"/>
      <c r="G53" s="128"/>
      <c r="H53" s="130"/>
      <c r="I53" s="129"/>
      <c r="J53" s="128"/>
      <c r="K53" s="128"/>
      <c r="L53" s="128"/>
      <c r="M53" s="130"/>
      <c r="N53" s="129"/>
      <c r="O53" s="128"/>
      <c r="P53" s="128"/>
      <c r="Q53" s="128"/>
      <c r="R53" s="130"/>
      <c r="S53" s="131"/>
      <c r="T53" s="132"/>
      <c r="U53" s="132"/>
      <c r="V53" s="132"/>
      <c r="W53" s="133"/>
      <c r="X53" s="134"/>
      <c r="Y53" s="128"/>
      <c r="Z53" s="129"/>
      <c r="AA53" s="128"/>
      <c r="AB53" s="128"/>
      <c r="AC53" s="128"/>
      <c r="AD53" s="130"/>
      <c r="AE53" s="129"/>
      <c r="AF53" s="128"/>
      <c r="AG53" s="128"/>
      <c r="AH53" s="128"/>
      <c r="AI53" s="130"/>
      <c r="AJ53" s="129"/>
      <c r="AK53" s="128"/>
      <c r="AL53" s="128"/>
      <c r="AM53" s="128"/>
      <c r="AN53" s="130"/>
      <c r="AO53" s="131"/>
      <c r="AP53" s="132"/>
      <c r="AQ53" s="132"/>
      <c r="AR53" s="132"/>
      <c r="AS53" s="133"/>
      <c r="AT53" s="134"/>
      <c r="AU53" s="128"/>
      <c r="AV53" s="129"/>
      <c r="AW53" s="128"/>
      <c r="AX53" s="128"/>
      <c r="AY53" s="128"/>
      <c r="AZ53" s="130"/>
      <c r="BA53" s="129"/>
      <c r="BB53" s="128"/>
      <c r="BC53" s="128"/>
      <c r="BD53" s="128"/>
      <c r="BE53" s="130"/>
      <c r="BF53" s="129"/>
      <c r="BG53" s="128"/>
      <c r="BH53" s="128"/>
      <c r="BI53" s="128"/>
      <c r="BJ53" s="130"/>
      <c r="BK53" s="131"/>
      <c r="BL53" s="132"/>
      <c r="BM53" s="132"/>
      <c r="BN53" s="132"/>
      <c r="BO53" s="133"/>
    </row>
    <row r="54" spans="1:67" x14ac:dyDescent="0.25">
      <c r="A54" s="362"/>
      <c r="B54" s="37" t="s">
        <v>78</v>
      </c>
      <c r="C54" s="128"/>
      <c r="D54" s="129"/>
      <c r="E54" s="128"/>
      <c r="F54" s="128"/>
      <c r="G54" s="128"/>
      <c r="H54" s="130"/>
      <c r="I54" s="129"/>
      <c r="J54" s="128"/>
      <c r="K54" s="128"/>
      <c r="L54" s="128"/>
      <c r="M54" s="130"/>
      <c r="N54" s="129"/>
      <c r="O54" s="128"/>
      <c r="P54" s="128"/>
      <c r="Q54" s="128"/>
      <c r="R54" s="130"/>
      <c r="S54" s="131"/>
      <c r="T54" s="132"/>
      <c r="U54" s="132"/>
      <c r="V54" s="132"/>
      <c r="W54" s="133"/>
      <c r="X54" s="134" t="s">
        <v>79</v>
      </c>
      <c r="Y54" s="128"/>
      <c r="Z54" s="129"/>
      <c r="AA54" s="128"/>
      <c r="AB54" s="128"/>
      <c r="AC54" s="128"/>
      <c r="AD54" s="130"/>
      <c r="AE54" s="129"/>
      <c r="AF54" s="128"/>
      <c r="AG54" s="128"/>
      <c r="AH54" s="128"/>
      <c r="AI54" s="130"/>
      <c r="AJ54" s="129"/>
      <c r="AK54" s="128"/>
      <c r="AL54" s="128"/>
      <c r="AM54" s="128"/>
      <c r="AN54" s="130"/>
      <c r="AO54" s="131"/>
      <c r="AP54" s="132"/>
      <c r="AQ54" s="132"/>
      <c r="AR54" s="132"/>
      <c r="AS54" s="133"/>
      <c r="AT54" s="134" t="s">
        <v>79</v>
      </c>
      <c r="AU54" s="128"/>
      <c r="AV54" s="129"/>
      <c r="AW54" s="128"/>
      <c r="AX54" s="128"/>
      <c r="AY54" s="128"/>
      <c r="AZ54" s="130"/>
      <c r="BA54" s="129"/>
      <c r="BB54" s="128"/>
      <c r="BC54" s="128"/>
      <c r="BD54" s="128"/>
      <c r="BE54" s="130"/>
      <c r="BF54" s="129"/>
      <c r="BG54" s="128"/>
      <c r="BH54" s="128"/>
      <c r="BI54" s="128"/>
      <c r="BJ54" s="130"/>
      <c r="BK54" s="131"/>
      <c r="BL54" s="132"/>
      <c r="BM54" s="132"/>
      <c r="BN54" s="132"/>
      <c r="BO54" s="133"/>
    </row>
    <row r="55" spans="1:67" x14ac:dyDescent="0.25">
      <c r="A55" s="362"/>
      <c r="B55" s="66" t="s">
        <v>100</v>
      </c>
      <c r="C55" s="128"/>
      <c r="D55" s="180">
        <v>0.6</v>
      </c>
      <c r="E55" s="76">
        <v>1.5</v>
      </c>
      <c r="F55" s="76">
        <v>1.5</v>
      </c>
      <c r="G55" s="76">
        <v>1.6</v>
      </c>
      <c r="H55" s="76">
        <v>1.9</v>
      </c>
      <c r="I55" s="180">
        <v>15.3</v>
      </c>
      <c r="J55" s="76">
        <v>18.2</v>
      </c>
      <c r="K55" s="76">
        <v>18</v>
      </c>
      <c r="L55" s="76">
        <v>18</v>
      </c>
      <c r="M55" s="76">
        <v>18</v>
      </c>
      <c r="N55" s="129"/>
      <c r="O55" s="128"/>
      <c r="P55" s="128"/>
      <c r="Q55" s="128"/>
      <c r="R55" s="130"/>
      <c r="S55" s="131" t="s">
        <v>56</v>
      </c>
      <c r="T55" s="132" t="s">
        <v>56</v>
      </c>
      <c r="U55" s="132" t="s">
        <v>56</v>
      </c>
      <c r="V55" s="132" t="s">
        <v>56</v>
      </c>
      <c r="W55" s="133" t="s">
        <v>56</v>
      </c>
      <c r="X55" s="135" t="s">
        <v>74</v>
      </c>
      <c r="Y55" s="128"/>
      <c r="Z55" s="180">
        <v>2.2000000000000002</v>
      </c>
      <c r="AA55" s="76">
        <v>3.8</v>
      </c>
      <c r="AB55" s="76">
        <v>4.0999999999999996</v>
      </c>
      <c r="AC55" s="76">
        <v>4.3</v>
      </c>
      <c r="AD55" s="76">
        <v>4</v>
      </c>
      <c r="AE55" s="180">
        <v>21.2</v>
      </c>
      <c r="AF55" s="76">
        <v>27.6</v>
      </c>
      <c r="AG55" s="76">
        <v>27.6</v>
      </c>
      <c r="AH55" s="76">
        <v>27.5</v>
      </c>
      <c r="AI55" s="76">
        <v>28.1</v>
      </c>
      <c r="AJ55" s="129"/>
      <c r="AK55" s="128"/>
      <c r="AL55" s="128"/>
      <c r="AM55" s="128"/>
      <c r="AN55" s="130"/>
      <c r="AO55" s="131" t="s">
        <v>56</v>
      </c>
      <c r="AP55" s="132" t="s">
        <v>56</v>
      </c>
      <c r="AQ55" s="132" t="s">
        <v>56</v>
      </c>
      <c r="AR55" s="132" t="s">
        <v>56</v>
      </c>
      <c r="AS55" s="133" t="s">
        <v>56</v>
      </c>
      <c r="AT55" s="135" t="s">
        <v>74</v>
      </c>
      <c r="AU55" s="128"/>
      <c r="AV55" s="180">
        <v>1.3</v>
      </c>
      <c r="AW55" s="76">
        <v>2.5</v>
      </c>
      <c r="AX55" s="76">
        <v>2.7</v>
      </c>
      <c r="AY55" s="76">
        <v>2.8</v>
      </c>
      <c r="AZ55" s="76">
        <v>2.8</v>
      </c>
      <c r="BA55" s="180">
        <v>18.2</v>
      </c>
      <c r="BB55" s="76">
        <v>22.8</v>
      </c>
      <c r="BC55" s="76">
        <v>22.7</v>
      </c>
      <c r="BD55" s="76">
        <v>22.6</v>
      </c>
      <c r="BE55" s="76">
        <v>22.9</v>
      </c>
      <c r="BF55" s="129"/>
      <c r="BG55" s="128"/>
      <c r="BH55" s="128"/>
      <c r="BI55" s="128"/>
      <c r="BJ55" s="130"/>
      <c r="BK55" s="131" t="s">
        <v>56</v>
      </c>
      <c r="BL55" s="132" t="s">
        <v>56</v>
      </c>
      <c r="BM55" s="132" t="s">
        <v>56</v>
      </c>
      <c r="BN55" s="132" t="s">
        <v>56</v>
      </c>
      <c r="BO55" s="187">
        <v>4</v>
      </c>
    </row>
    <row r="56" spans="1:67" x14ac:dyDescent="0.25">
      <c r="A56" s="362"/>
      <c r="B56" s="66"/>
      <c r="C56" s="128"/>
      <c r="D56" s="180"/>
      <c r="E56" s="76"/>
      <c r="F56" s="76"/>
      <c r="G56" s="76"/>
      <c r="H56" s="76"/>
      <c r="I56" s="180"/>
      <c r="J56" s="76"/>
      <c r="K56" s="76"/>
      <c r="L56" s="76"/>
      <c r="M56" s="76"/>
      <c r="N56" s="129"/>
      <c r="O56" s="128"/>
      <c r="P56" s="128"/>
      <c r="Q56" s="136"/>
      <c r="R56" s="137"/>
      <c r="S56" s="131"/>
      <c r="T56" s="132"/>
      <c r="U56" s="132"/>
      <c r="V56" s="132"/>
      <c r="W56" s="133"/>
      <c r="X56" s="135"/>
      <c r="Y56" s="128"/>
      <c r="Z56" s="180"/>
      <c r="AA56" s="76"/>
      <c r="AB56" s="76"/>
      <c r="AC56" s="76"/>
      <c r="AD56" s="76"/>
      <c r="AE56" s="180"/>
      <c r="AF56" s="76"/>
      <c r="AG56" s="76"/>
      <c r="AH56" s="76"/>
      <c r="AI56" s="76"/>
      <c r="AJ56" s="129"/>
      <c r="AK56" s="128"/>
      <c r="AL56" s="128"/>
      <c r="AM56" s="136"/>
      <c r="AN56" s="137"/>
      <c r="AO56" s="131"/>
      <c r="AP56" s="132"/>
      <c r="AQ56" s="132"/>
      <c r="AR56" s="132"/>
      <c r="AS56" s="133"/>
      <c r="AT56" s="135"/>
      <c r="AU56" s="128"/>
      <c r="AV56" s="180"/>
      <c r="AW56" s="76"/>
      <c r="AX56" s="76"/>
      <c r="AY56" s="76"/>
      <c r="AZ56" s="76"/>
      <c r="BA56" s="180"/>
      <c r="BB56" s="76"/>
      <c r="BC56" s="76"/>
      <c r="BD56" s="76"/>
      <c r="BE56" s="76"/>
      <c r="BF56" s="129"/>
      <c r="BG56" s="128"/>
      <c r="BH56" s="128"/>
      <c r="BI56" s="136"/>
      <c r="BJ56" s="137"/>
      <c r="BK56" s="131"/>
      <c r="BL56" s="132"/>
      <c r="BM56" s="132"/>
      <c r="BN56" s="132"/>
      <c r="BO56" s="133"/>
    </row>
    <row r="57" spans="1:67" x14ac:dyDescent="0.25">
      <c r="A57" s="362"/>
      <c r="B57" s="67" t="s">
        <v>45</v>
      </c>
      <c r="C57" s="128"/>
      <c r="D57" s="180">
        <v>2.1</v>
      </c>
      <c r="E57" s="76">
        <v>6.1</v>
      </c>
      <c r="F57" s="76">
        <v>4.4000000000000004</v>
      </c>
      <c r="G57" s="76">
        <v>4.3</v>
      </c>
      <c r="H57" s="76">
        <v>5</v>
      </c>
      <c r="I57" s="180">
        <v>17.3</v>
      </c>
      <c r="J57" s="76">
        <v>23.3</v>
      </c>
      <c r="K57" s="76">
        <v>24.2</v>
      </c>
      <c r="L57" s="76">
        <v>23.3</v>
      </c>
      <c r="M57" s="76">
        <v>23</v>
      </c>
      <c r="N57" s="129"/>
      <c r="O57" s="128"/>
      <c r="P57" s="128"/>
      <c r="Q57" s="128"/>
      <c r="R57" s="130"/>
      <c r="S57" s="131" t="s">
        <v>56</v>
      </c>
      <c r="T57" s="132" t="s">
        <v>56</v>
      </c>
      <c r="U57" s="132" t="s">
        <v>56</v>
      </c>
      <c r="V57" s="132" t="s">
        <v>56</v>
      </c>
      <c r="W57" s="133" t="s">
        <v>56</v>
      </c>
      <c r="X57" s="138" t="s">
        <v>45</v>
      </c>
      <c r="Y57" s="128"/>
      <c r="Z57" s="180">
        <v>4.7</v>
      </c>
      <c r="AA57" s="76">
        <v>8.5</v>
      </c>
      <c r="AB57" s="76">
        <v>8.4</v>
      </c>
      <c r="AC57" s="76">
        <v>9.4</v>
      </c>
      <c r="AD57" s="76">
        <v>8.3000000000000007</v>
      </c>
      <c r="AE57" s="180">
        <v>22.4</v>
      </c>
      <c r="AF57" s="76">
        <v>31.5</v>
      </c>
      <c r="AG57" s="76">
        <v>33</v>
      </c>
      <c r="AH57" s="76">
        <v>32.4</v>
      </c>
      <c r="AI57" s="76">
        <v>32.700000000000003</v>
      </c>
      <c r="AJ57" s="129"/>
      <c r="AK57" s="128"/>
      <c r="AL57" s="128"/>
      <c r="AM57" s="128"/>
      <c r="AN57" s="130"/>
      <c r="AO57" s="131" t="s">
        <v>56</v>
      </c>
      <c r="AP57" s="132" t="s">
        <v>56</v>
      </c>
      <c r="AQ57" s="132" t="s">
        <v>56</v>
      </c>
      <c r="AR57" s="132" t="s">
        <v>56</v>
      </c>
      <c r="AS57" s="133" t="s">
        <v>56</v>
      </c>
      <c r="AT57" s="138" t="s">
        <v>45</v>
      </c>
      <c r="AU57" s="128"/>
      <c r="AV57" s="180">
        <v>3.5</v>
      </c>
      <c r="AW57" s="76">
        <v>7.5</v>
      </c>
      <c r="AX57" s="76">
        <v>6.7</v>
      </c>
      <c r="AY57" s="76">
        <v>7.2</v>
      </c>
      <c r="AZ57" s="76">
        <v>6.8</v>
      </c>
      <c r="BA57" s="180">
        <v>19.899999999999999</v>
      </c>
      <c r="BB57" s="76">
        <v>27.6</v>
      </c>
      <c r="BC57" s="76">
        <v>28.7</v>
      </c>
      <c r="BD57" s="76">
        <v>28</v>
      </c>
      <c r="BE57" s="76">
        <v>28</v>
      </c>
      <c r="BF57" s="129"/>
      <c r="BG57" s="128"/>
      <c r="BH57" s="128"/>
      <c r="BI57" s="128"/>
      <c r="BJ57" s="130"/>
      <c r="BK57" s="131" t="s">
        <v>56</v>
      </c>
      <c r="BL57" s="132" t="s">
        <v>56</v>
      </c>
      <c r="BM57" s="132" t="s">
        <v>56</v>
      </c>
      <c r="BN57" s="132" t="s">
        <v>56</v>
      </c>
      <c r="BO57" s="133" t="s">
        <v>56</v>
      </c>
    </row>
    <row r="58" spans="1:67" x14ac:dyDescent="0.25">
      <c r="A58" s="362"/>
      <c r="B58" s="67"/>
      <c r="C58" s="128"/>
      <c r="D58" s="180"/>
      <c r="E58" s="76"/>
      <c r="F58" s="76"/>
      <c r="G58" s="76"/>
      <c r="H58" s="76"/>
      <c r="I58" s="180"/>
      <c r="J58" s="76"/>
      <c r="K58" s="76"/>
      <c r="L58" s="76"/>
      <c r="M58" s="76"/>
      <c r="N58" s="139"/>
      <c r="O58" s="140"/>
      <c r="P58" s="140"/>
      <c r="Q58" s="140"/>
      <c r="R58" s="141"/>
      <c r="S58" s="131"/>
      <c r="T58" s="132"/>
      <c r="U58" s="132"/>
      <c r="V58" s="132"/>
      <c r="W58" s="133"/>
      <c r="X58" s="138"/>
      <c r="Y58" s="128"/>
      <c r="Z58" s="180"/>
      <c r="AA58" s="76"/>
      <c r="AB58" s="76"/>
      <c r="AC58" s="76"/>
      <c r="AD58" s="76"/>
      <c r="AE58" s="180"/>
      <c r="AF58" s="76"/>
      <c r="AG58" s="76"/>
      <c r="AH58" s="76"/>
      <c r="AI58" s="76"/>
      <c r="AJ58" s="139"/>
      <c r="AK58" s="140"/>
      <c r="AL58" s="140"/>
      <c r="AM58" s="140"/>
      <c r="AN58" s="141"/>
      <c r="AO58" s="131"/>
      <c r="AP58" s="132"/>
      <c r="AQ58" s="132"/>
      <c r="AR58" s="132"/>
      <c r="AS58" s="133"/>
      <c r="AT58" s="138"/>
      <c r="AU58" s="128"/>
      <c r="AV58" s="180"/>
      <c r="AW58" s="76"/>
      <c r="AX58" s="76"/>
      <c r="AY58" s="76"/>
      <c r="AZ58" s="76"/>
      <c r="BA58" s="180"/>
      <c r="BB58" s="76"/>
      <c r="BC58" s="76"/>
      <c r="BD58" s="76"/>
      <c r="BE58" s="76"/>
      <c r="BF58" s="139"/>
      <c r="BG58" s="140"/>
      <c r="BH58" s="140"/>
      <c r="BI58" s="140"/>
      <c r="BJ58" s="141"/>
      <c r="BK58" s="131"/>
      <c r="BL58" s="132"/>
      <c r="BM58" s="132"/>
      <c r="BN58" s="132"/>
      <c r="BO58" s="133"/>
    </row>
    <row r="59" spans="1:67" x14ac:dyDescent="0.25">
      <c r="A59" s="362"/>
      <c r="B59" s="67" t="s">
        <v>75</v>
      </c>
      <c r="C59" s="128"/>
      <c r="D59" s="180">
        <v>0.3</v>
      </c>
      <c r="E59" s="76">
        <v>0.5</v>
      </c>
      <c r="F59" s="76">
        <v>0.7</v>
      </c>
      <c r="G59" s="76">
        <v>0.7</v>
      </c>
      <c r="H59" s="76">
        <v>0.7</v>
      </c>
      <c r="I59" s="180">
        <v>2.5</v>
      </c>
      <c r="J59" s="76">
        <v>3.4</v>
      </c>
      <c r="K59" s="76">
        <v>3.7</v>
      </c>
      <c r="L59" s="76">
        <v>3.5</v>
      </c>
      <c r="M59" s="76">
        <v>3.4</v>
      </c>
      <c r="N59" s="129"/>
      <c r="O59" s="128"/>
      <c r="P59" s="128"/>
      <c r="Q59" s="128"/>
      <c r="R59" s="130"/>
      <c r="S59" s="131" t="s">
        <v>56</v>
      </c>
      <c r="T59" s="132" t="s">
        <v>56</v>
      </c>
      <c r="U59" s="132" t="s">
        <v>56</v>
      </c>
      <c r="V59" s="132" t="s">
        <v>56</v>
      </c>
      <c r="W59" s="133" t="s">
        <v>56</v>
      </c>
      <c r="X59" s="138" t="s">
        <v>75</v>
      </c>
      <c r="Y59" s="128"/>
      <c r="Z59" s="180">
        <v>1.3</v>
      </c>
      <c r="AA59" s="76">
        <v>1.7</v>
      </c>
      <c r="AB59" s="76">
        <v>2</v>
      </c>
      <c r="AC59" s="76">
        <v>1.2</v>
      </c>
      <c r="AD59" s="76">
        <v>0.7</v>
      </c>
      <c r="AE59" s="180">
        <v>3.7</v>
      </c>
      <c r="AF59" s="76">
        <v>5.9</v>
      </c>
      <c r="AG59" s="76">
        <v>6.3</v>
      </c>
      <c r="AH59" s="76">
        <v>6.1</v>
      </c>
      <c r="AI59" s="76">
        <v>6.4</v>
      </c>
      <c r="AJ59" s="129"/>
      <c r="AK59" s="128"/>
      <c r="AL59" s="128"/>
      <c r="AM59" s="128"/>
      <c r="AN59" s="130"/>
      <c r="AO59" s="131" t="s">
        <v>56</v>
      </c>
      <c r="AP59" s="132" t="s">
        <v>56</v>
      </c>
      <c r="AQ59" s="132" t="s">
        <v>56</v>
      </c>
      <c r="AR59" s="132" t="s">
        <v>56</v>
      </c>
      <c r="AS59" s="133" t="s">
        <v>56</v>
      </c>
      <c r="AT59" s="138" t="s">
        <v>75</v>
      </c>
      <c r="AU59" s="128"/>
      <c r="AV59" s="180">
        <v>0.7</v>
      </c>
      <c r="AW59" s="76">
        <v>0.9</v>
      </c>
      <c r="AX59" s="76">
        <v>1.2</v>
      </c>
      <c r="AY59" s="76">
        <v>0.9</v>
      </c>
      <c r="AZ59" s="76">
        <v>0.7</v>
      </c>
      <c r="BA59" s="180">
        <v>3</v>
      </c>
      <c r="BB59" s="76">
        <v>4.3</v>
      </c>
      <c r="BC59" s="76">
        <v>4.5999999999999996</v>
      </c>
      <c r="BD59" s="76">
        <v>4.5</v>
      </c>
      <c r="BE59" s="76">
        <v>4.5</v>
      </c>
      <c r="BF59" s="129"/>
      <c r="BG59" s="128"/>
      <c r="BH59" s="128"/>
      <c r="BI59" s="128"/>
      <c r="BJ59" s="130"/>
      <c r="BK59" s="131" t="s">
        <v>56</v>
      </c>
      <c r="BL59" s="132" t="s">
        <v>56</v>
      </c>
      <c r="BM59" s="132" t="s">
        <v>56</v>
      </c>
      <c r="BN59" s="132" t="s">
        <v>56</v>
      </c>
      <c r="BO59" s="133" t="s">
        <v>56</v>
      </c>
    </row>
    <row r="60" spans="1:67" x14ac:dyDescent="0.25">
      <c r="A60" s="362"/>
      <c r="B60" s="67" t="s">
        <v>101</v>
      </c>
      <c r="C60" s="128"/>
      <c r="D60" s="180" t="s">
        <v>52</v>
      </c>
      <c r="E60" s="76" t="s">
        <v>52</v>
      </c>
      <c r="F60" s="76" t="s">
        <v>52</v>
      </c>
      <c r="G60" s="76" t="s">
        <v>52</v>
      </c>
      <c r="H60" s="76" t="s">
        <v>52</v>
      </c>
      <c r="I60" s="180">
        <v>1.1000000000000001</v>
      </c>
      <c r="J60" s="76">
        <v>1.6</v>
      </c>
      <c r="K60" s="76">
        <v>1.8</v>
      </c>
      <c r="L60" s="76">
        <v>1.7</v>
      </c>
      <c r="M60" s="76">
        <v>1.6</v>
      </c>
      <c r="N60" s="129"/>
      <c r="O60" s="128"/>
      <c r="P60" s="128"/>
      <c r="Q60" s="128"/>
      <c r="R60" s="130"/>
      <c r="S60" s="131" t="s">
        <v>56</v>
      </c>
      <c r="T60" s="132" t="s">
        <v>56</v>
      </c>
      <c r="U60" s="132" t="s">
        <v>56</v>
      </c>
      <c r="V60" s="132" t="s">
        <v>56</v>
      </c>
      <c r="W60" s="133" t="s">
        <v>56</v>
      </c>
      <c r="X60" s="138" t="s">
        <v>76</v>
      </c>
      <c r="Y60" s="128"/>
      <c r="Z60" s="180" t="s">
        <v>52</v>
      </c>
      <c r="AA60" s="76" t="s">
        <v>52</v>
      </c>
      <c r="AB60" s="76" t="s">
        <v>52</v>
      </c>
      <c r="AC60" s="76" t="s">
        <v>52</v>
      </c>
      <c r="AD60" s="76" t="s">
        <v>52</v>
      </c>
      <c r="AE60" s="180">
        <v>1.3</v>
      </c>
      <c r="AF60" s="76">
        <v>2</v>
      </c>
      <c r="AG60" s="76">
        <v>2</v>
      </c>
      <c r="AH60" s="76">
        <v>1.7</v>
      </c>
      <c r="AI60" s="76">
        <v>2.1</v>
      </c>
      <c r="AJ60" s="129"/>
      <c r="AK60" s="128"/>
      <c r="AL60" s="128"/>
      <c r="AM60" s="128"/>
      <c r="AN60" s="130"/>
      <c r="AO60" s="131" t="s">
        <v>56</v>
      </c>
      <c r="AP60" s="132" t="s">
        <v>56</v>
      </c>
      <c r="AQ60" s="132" t="s">
        <v>56</v>
      </c>
      <c r="AR60" s="132" t="s">
        <v>56</v>
      </c>
      <c r="AS60" s="133" t="s">
        <v>56</v>
      </c>
      <c r="AT60" s="138" t="s">
        <v>76</v>
      </c>
      <c r="AU60" s="128"/>
      <c r="AV60" s="180" t="s">
        <v>52</v>
      </c>
      <c r="AW60" s="76" t="s">
        <v>52</v>
      </c>
      <c r="AX60" s="76" t="s">
        <v>52</v>
      </c>
      <c r="AY60" s="76" t="s">
        <v>52</v>
      </c>
      <c r="AZ60" s="76" t="s">
        <v>52</v>
      </c>
      <c r="BA60" s="180">
        <v>1.2</v>
      </c>
      <c r="BB60" s="76">
        <v>1.7</v>
      </c>
      <c r="BC60" s="76">
        <v>1.9</v>
      </c>
      <c r="BD60" s="76">
        <v>1.7</v>
      </c>
      <c r="BE60" s="76">
        <v>1.7</v>
      </c>
      <c r="BF60" s="129"/>
      <c r="BG60" s="128"/>
      <c r="BH60" s="128"/>
      <c r="BI60" s="128"/>
      <c r="BJ60" s="130"/>
      <c r="BK60" s="131" t="s">
        <v>56</v>
      </c>
      <c r="BL60" s="132" t="s">
        <v>56</v>
      </c>
      <c r="BM60" s="132" t="s">
        <v>56</v>
      </c>
      <c r="BN60" s="132" t="s">
        <v>56</v>
      </c>
      <c r="BO60" s="133" t="s">
        <v>56</v>
      </c>
    </row>
    <row r="61" spans="1:67" x14ac:dyDescent="0.25">
      <c r="A61" s="362"/>
      <c r="B61" s="72" t="s">
        <v>102</v>
      </c>
      <c r="C61" s="143"/>
      <c r="D61" s="182">
        <v>0.8</v>
      </c>
      <c r="E61" s="181">
        <v>1</v>
      </c>
      <c r="F61" s="181">
        <v>1.3</v>
      </c>
      <c r="G61" s="181">
        <v>1.7</v>
      </c>
      <c r="H61" s="181">
        <v>1.4</v>
      </c>
      <c r="I61" s="182">
        <v>2.8</v>
      </c>
      <c r="J61" s="181">
        <v>3.9</v>
      </c>
      <c r="K61" s="181">
        <v>4.3</v>
      </c>
      <c r="L61" s="181">
        <v>4.3</v>
      </c>
      <c r="M61" s="181">
        <v>4.2</v>
      </c>
      <c r="N61" s="144"/>
      <c r="O61" s="123"/>
      <c r="P61" s="123"/>
      <c r="Q61" s="123"/>
      <c r="R61" s="145"/>
      <c r="S61" s="146" t="s">
        <v>56</v>
      </c>
      <c r="T61" s="147" t="s">
        <v>56</v>
      </c>
      <c r="U61" s="147" t="s">
        <v>56</v>
      </c>
      <c r="V61" s="147" t="s">
        <v>56</v>
      </c>
      <c r="W61" s="148" t="s">
        <v>56</v>
      </c>
      <c r="X61" s="149" t="s">
        <v>77</v>
      </c>
      <c r="Y61" s="143"/>
      <c r="Z61" s="182">
        <v>1.9</v>
      </c>
      <c r="AA61" s="181">
        <v>2.2000000000000002</v>
      </c>
      <c r="AB61" s="181">
        <v>3</v>
      </c>
      <c r="AC61" s="181">
        <v>1.8</v>
      </c>
      <c r="AD61" s="181">
        <v>1.1000000000000001</v>
      </c>
      <c r="AE61" s="182">
        <v>4.0999999999999996</v>
      </c>
      <c r="AF61" s="181">
        <v>6.5</v>
      </c>
      <c r="AG61" s="181">
        <v>6.9</v>
      </c>
      <c r="AH61" s="181">
        <v>7</v>
      </c>
      <c r="AI61" s="181">
        <v>7.4</v>
      </c>
      <c r="AJ61" s="144"/>
      <c r="AK61" s="123"/>
      <c r="AL61" s="123"/>
      <c r="AM61" s="123"/>
      <c r="AN61" s="145"/>
      <c r="AO61" s="146" t="s">
        <v>56</v>
      </c>
      <c r="AP61" s="147" t="s">
        <v>56</v>
      </c>
      <c r="AQ61" s="147" t="s">
        <v>56</v>
      </c>
      <c r="AR61" s="147" t="s">
        <v>56</v>
      </c>
      <c r="AS61" s="148" t="s">
        <v>56</v>
      </c>
      <c r="AT61" s="149" t="s">
        <v>77</v>
      </c>
      <c r="AU61" s="143"/>
      <c r="AV61" s="182">
        <v>1.4</v>
      </c>
      <c r="AW61" s="181">
        <v>1.7</v>
      </c>
      <c r="AX61" s="181">
        <v>2.2000000000000002</v>
      </c>
      <c r="AY61" s="181">
        <v>1.7</v>
      </c>
      <c r="AZ61" s="181">
        <v>1.3</v>
      </c>
      <c r="BA61" s="182">
        <v>3.3</v>
      </c>
      <c r="BB61" s="181">
        <v>5</v>
      </c>
      <c r="BC61" s="181">
        <v>5.3</v>
      </c>
      <c r="BD61" s="181">
        <v>5.3</v>
      </c>
      <c r="BE61" s="181">
        <v>5.4</v>
      </c>
      <c r="BF61" s="144"/>
      <c r="BG61" s="123"/>
      <c r="BH61" s="123"/>
      <c r="BI61" s="123"/>
      <c r="BJ61" s="145"/>
      <c r="BK61" s="146" t="s">
        <v>56</v>
      </c>
      <c r="BL61" s="147" t="s">
        <v>56</v>
      </c>
      <c r="BM61" s="147" t="s">
        <v>56</v>
      </c>
      <c r="BN61" s="147" t="s">
        <v>56</v>
      </c>
      <c r="BO61" s="148" t="s">
        <v>56</v>
      </c>
    </row>
  </sheetData>
  <mergeCells count="42">
    <mergeCell ref="AV42:AZ42"/>
    <mergeCell ref="BA42:BE42"/>
    <mergeCell ref="BF42:BJ42"/>
    <mergeCell ref="BK42:BO42"/>
    <mergeCell ref="BK22:BO22"/>
    <mergeCell ref="AV22:AZ22"/>
    <mergeCell ref="BA22:BE22"/>
    <mergeCell ref="BF22:BJ22"/>
    <mergeCell ref="A42:A61"/>
    <mergeCell ref="D42:H42"/>
    <mergeCell ref="I42:M42"/>
    <mergeCell ref="N42:R42"/>
    <mergeCell ref="S42:W42"/>
    <mergeCell ref="Z42:AD42"/>
    <mergeCell ref="AE42:AI42"/>
    <mergeCell ref="AJ42:AN42"/>
    <mergeCell ref="AO42:AS42"/>
    <mergeCell ref="AE22:AI22"/>
    <mergeCell ref="AJ22:AN22"/>
    <mergeCell ref="AO22:AS22"/>
    <mergeCell ref="Z22:AD22"/>
    <mergeCell ref="A22:A41"/>
    <mergeCell ref="D22:H22"/>
    <mergeCell ref="I22:M22"/>
    <mergeCell ref="N22:R22"/>
    <mergeCell ref="S22:W22"/>
    <mergeCell ref="BK2:BO2"/>
    <mergeCell ref="B1:W1"/>
    <mergeCell ref="X1:AS1"/>
    <mergeCell ref="AT1:BO1"/>
    <mergeCell ref="A2:A21"/>
    <mergeCell ref="D2:H2"/>
    <mergeCell ref="I2:M2"/>
    <mergeCell ref="N2:R2"/>
    <mergeCell ref="S2:W2"/>
    <mergeCell ref="Z2:AD2"/>
    <mergeCell ref="AE2:AI2"/>
    <mergeCell ref="AJ2:AN2"/>
    <mergeCell ref="AO2:AS2"/>
    <mergeCell ref="AV2:AZ2"/>
    <mergeCell ref="BA2:BE2"/>
    <mergeCell ref="BF2:B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B28"/>
  <sheetViews>
    <sheetView workbookViewId="0"/>
  </sheetViews>
  <sheetFormatPr defaultColWidth="9" defaultRowHeight="15" x14ac:dyDescent="0.25"/>
  <cols>
    <col min="1" max="1" width="5.85546875" style="7" customWidth="1"/>
    <col min="2" max="2" width="38.140625" style="7" bestFit="1" customWidth="1"/>
    <col min="3" max="11" width="9" style="7"/>
    <col min="12" max="12" width="5.85546875" style="7" customWidth="1"/>
    <col min="13" max="13" width="38.140625" style="7" bestFit="1" customWidth="1"/>
    <col min="14" max="22" width="9" style="7"/>
    <col min="23" max="23" width="5.85546875" style="7" customWidth="1"/>
    <col min="24" max="24" width="38.140625" style="7" bestFit="1" customWidth="1"/>
    <col min="25" max="16384" width="9" style="7"/>
  </cols>
  <sheetData>
    <row r="1" spans="1:54" ht="15" customHeight="1" x14ac:dyDescent="0.25">
      <c r="A1" s="266"/>
      <c r="L1" s="266"/>
      <c r="W1" s="266"/>
      <c r="BB1" s="211"/>
    </row>
    <row r="2" spans="1:54" ht="15" customHeight="1" x14ac:dyDescent="0.25">
      <c r="A2" s="209"/>
      <c r="B2" s="198"/>
      <c r="C2" s="198"/>
      <c r="D2" s="198"/>
      <c r="L2" s="209"/>
      <c r="M2" s="198"/>
      <c r="N2" s="198"/>
      <c r="O2" s="198"/>
      <c r="W2" s="209"/>
      <c r="X2" s="198"/>
      <c r="Y2" s="198"/>
      <c r="Z2" s="198"/>
    </row>
    <row r="3" spans="1:54" ht="30" customHeight="1" x14ac:dyDescent="0.25">
      <c r="A3" s="349" t="s">
        <v>131</v>
      </c>
      <c r="B3" s="349"/>
      <c r="C3" s="349"/>
      <c r="D3" s="349"/>
      <c r="E3" s="349"/>
      <c r="F3" s="349"/>
      <c r="G3" s="349"/>
      <c r="H3" s="349"/>
      <c r="I3" s="349"/>
      <c r="J3" s="349"/>
      <c r="L3" s="349" t="s">
        <v>131</v>
      </c>
      <c r="M3" s="349"/>
      <c r="N3" s="349"/>
      <c r="O3" s="349"/>
      <c r="P3" s="349"/>
      <c r="Q3" s="349"/>
      <c r="R3" s="349"/>
      <c r="S3" s="349"/>
      <c r="T3" s="349"/>
      <c r="U3" s="349"/>
      <c r="W3" s="349" t="s">
        <v>131</v>
      </c>
      <c r="X3" s="349"/>
      <c r="Y3" s="349"/>
      <c r="Z3" s="349"/>
      <c r="AA3" s="349"/>
      <c r="AB3" s="349"/>
      <c r="AC3" s="349"/>
      <c r="AD3" s="349"/>
      <c r="AE3" s="349"/>
      <c r="AF3" s="349"/>
    </row>
    <row r="4" spans="1:54" ht="15" customHeight="1" x14ac:dyDescent="0.25">
      <c r="A4" s="210" t="s">
        <v>14</v>
      </c>
      <c r="B4" s="104"/>
      <c r="C4" s="104"/>
      <c r="D4" s="104"/>
      <c r="J4" s="7" t="s">
        <v>20</v>
      </c>
      <c r="L4" s="210" t="s">
        <v>14</v>
      </c>
      <c r="M4" s="104"/>
      <c r="N4" s="104"/>
      <c r="O4" s="104"/>
      <c r="U4" s="7" t="s">
        <v>19</v>
      </c>
      <c r="W4" s="210" t="s">
        <v>14</v>
      </c>
      <c r="X4" s="104"/>
      <c r="Y4" s="104"/>
      <c r="Z4" s="104"/>
      <c r="AF4" s="7" t="s">
        <v>18</v>
      </c>
    </row>
    <row r="5" spans="1:54" ht="15" customHeight="1" x14ac:dyDescent="0.25">
      <c r="A5" s="113" t="s">
        <v>28</v>
      </c>
      <c r="B5" s="104"/>
      <c r="C5" s="104"/>
      <c r="D5" s="104"/>
      <c r="I5" s="240" t="s">
        <v>17</v>
      </c>
      <c r="J5" s="267" t="s">
        <v>20</v>
      </c>
      <c r="L5" s="113" t="s">
        <v>28</v>
      </c>
      <c r="M5" s="104"/>
      <c r="N5" s="104"/>
      <c r="O5" s="104"/>
      <c r="T5" s="240" t="s">
        <v>17</v>
      </c>
      <c r="U5" s="267" t="s">
        <v>19</v>
      </c>
      <c r="W5" s="113" t="s">
        <v>28</v>
      </c>
      <c r="X5" s="104"/>
      <c r="Y5" s="104"/>
      <c r="Z5" s="104"/>
      <c r="AE5" s="240" t="s">
        <v>17</v>
      </c>
      <c r="AF5" s="267" t="s">
        <v>18</v>
      </c>
    </row>
    <row r="6" spans="1:54" ht="15" customHeight="1" x14ac:dyDescent="0.25">
      <c r="A6" s="109"/>
      <c r="B6" s="175"/>
      <c r="C6" s="175"/>
      <c r="D6" s="175"/>
      <c r="L6" s="109"/>
      <c r="M6" s="175"/>
      <c r="N6" s="175"/>
      <c r="O6" s="175"/>
      <c r="W6" s="109"/>
      <c r="X6" s="175"/>
      <c r="Y6" s="175"/>
      <c r="Z6" s="175"/>
    </row>
    <row r="7" spans="1:54" ht="30" customHeight="1" x14ac:dyDescent="0.25">
      <c r="A7" s="215"/>
      <c r="B7" s="215"/>
      <c r="C7" s="350" t="s">
        <v>111</v>
      </c>
      <c r="D7" s="352"/>
      <c r="E7" s="350" t="s">
        <v>112</v>
      </c>
      <c r="F7" s="352"/>
      <c r="G7" s="350" t="s">
        <v>113</v>
      </c>
      <c r="H7" s="352"/>
      <c r="I7" s="350" t="s">
        <v>20</v>
      </c>
      <c r="J7" s="352"/>
      <c r="L7" s="215"/>
      <c r="M7" s="215"/>
      <c r="N7" s="350" t="s">
        <v>111</v>
      </c>
      <c r="O7" s="352"/>
      <c r="P7" s="350" t="s">
        <v>112</v>
      </c>
      <c r="Q7" s="352"/>
      <c r="R7" s="350" t="s">
        <v>113</v>
      </c>
      <c r="S7" s="352"/>
      <c r="T7" s="350" t="s">
        <v>20</v>
      </c>
      <c r="U7" s="352"/>
      <c r="W7" s="215"/>
      <c r="X7" s="215"/>
      <c r="Y7" s="350" t="s">
        <v>111</v>
      </c>
      <c r="Z7" s="352"/>
      <c r="AA7" s="350" t="s">
        <v>112</v>
      </c>
      <c r="AB7" s="352"/>
      <c r="AC7" s="350" t="s">
        <v>113</v>
      </c>
      <c r="AD7" s="352"/>
      <c r="AE7" s="350" t="s">
        <v>20</v>
      </c>
      <c r="AF7" s="352"/>
    </row>
    <row r="8" spans="1:54" ht="45" x14ac:dyDescent="0.25">
      <c r="A8" s="111"/>
      <c r="B8" s="217"/>
      <c r="C8" s="200" t="s">
        <v>63</v>
      </c>
      <c r="D8" s="200" t="s">
        <v>103</v>
      </c>
      <c r="E8" s="200" t="s">
        <v>63</v>
      </c>
      <c r="F8" s="200" t="s">
        <v>103</v>
      </c>
      <c r="G8" s="200" t="s">
        <v>63</v>
      </c>
      <c r="H8" s="200" t="s">
        <v>103</v>
      </c>
      <c r="I8" s="200" t="s">
        <v>63</v>
      </c>
      <c r="J8" s="200" t="s">
        <v>103</v>
      </c>
      <c r="L8" s="111"/>
      <c r="M8" s="217"/>
      <c r="N8" s="200" t="s">
        <v>63</v>
      </c>
      <c r="O8" s="200" t="s">
        <v>103</v>
      </c>
      <c r="P8" s="200" t="s">
        <v>63</v>
      </c>
      <c r="Q8" s="200" t="s">
        <v>103</v>
      </c>
      <c r="R8" s="200" t="s">
        <v>63</v>
      </c>
      <c r="S8" s="200" t="s">
        <v>103</v>
      </c>
      <c r="T8" s="200" t="s">
        <v>63</v>
      </c>
      <c r="U8" s="200" t="s">
        <v>103</v>
      </c>
      <c r="W8" s="111"/>
      <c r="X8" s="217"/>
      <c r="Y8" s="200" t="s">
        <v>63</v>
      </c>
      <c r="Z8" s="200" t="s">
        <v>103</v>
      </c>
      <c r="AA8" s="200" t="s">
        <v>63</v>
      </c>
      <c r="AB8" s="200" t="s">
        <v>103</v>
      </c>
      <c r="AC8" s="200" t="s">
        <v>63</v>
      </c>
      <c r="AD8" s="200" t="s">
        <v>103</v>
      </c>
      <c r="AE8" s="200" t="s">
        <v>63</v>
      </c>
      <c r="AF8" s="200" t="s">
        <v>103</v>
      </c>
    </row>
    <row r="9" spans="1:54" ht="15" customHeight="1" x14ac:dyDescent="0.25">
      <c r="A9" s="108"/>
      <c r="B9" s="175"/>
      <c r="C9" s="175"/>
      <c r="D9" s="175"/>
      <c r="E9" s="175"/>
      <c r="F9" s="175"/>
      <c r="G9" s="175"/>
      <c r="H9" s="175"/>
      <c r="I9" s="175"/>
      <c r="J9" s="175"/>
      <c r="L9" s="108"/>
      <c r="M9" s="175"/>
      <c r="N9" s="175"/>
      <c r="O9" s="175"/>
      <c r="P9" s="175"/>
      <c r="Q9" s="175"/>
      <c r="R9" s="175"/>
      <c r="S9" s="175"/>
      <c r="T9" s="175"/>
      <c r="U9" s="175"/>
      <c r="W9" s="108"/>
      <c r="X9" s="175"/>
      <c r="Y9" s="175"/>
      <c r="Z9" s="175"/>
      <c r="AA9" s="175"/>
      <c r="AB9" s="175"/>
      <c r="AC9" s="175"/>
      <c r="AD9" s="175"/>
      <c r="AE9" s="175"/>
      <c r="AF9" s="175"/>
    </row>
    <row r="10" spans="1:54" ht="15" customHeight="1" x14ac:dyDescent="0.25">
      <c r="A10" s="110" t="s">
        <v>132</v>
      </c>
      <c r="B10" s="175"/>
      <c r="C10" s="193">
        <v>1160</v>
      </c>
      <c r="D10" s="194">
        <v>34.5</v>
      </c>
      <c r="E10" s="193">
        <v>260</v>
      </c>
      <c r="F10" s="194">
        <v>35.299999999999997</v>
      </c>
      <c r="G10" s="193">
        <v>130</v>
      </c>
      <c r="H10" s="194">
        <v>35.200000000000003</v>
      </c>
      <c r="I10" s="193">
        <v>1540</v>
      </c>
      <c r="J10" s="194">
        <v>34.700000000000003</v>
      </c>
      <c r="K10" s="211">
        <v>1</v>
      </c>
      <c r="L10" s="110" t="s">
        <v>132</v>
      </c>
      <c r="M10" s="175"/>
      <c r="N10" s="193">
        <v>590</v>
      </c>
      <c r="O10" s="194">
        <v>32.9</v>
      </c>
      <c r="P10" s="193">
        <v>120</v>
      </c>
      <c r="Q10" s="194">
        <v>32.700000000000003</v>
      </c>
      <c r="R10" s="193">
        <v>60</v>
      </c>
      <c r="S10" s="194">
        <v>31.7</v>
      </c>
      <c r="T10" s="193">
        <v>770</v>
      </c>
      <c r="U10" s="194">
        <v>32.799999999999997</v>
      </c>
      <c r="W10" s="110" t="s">
        <v>132</v>
      </c>
      <c r="X10" s="175"/>
      <c r="Y10" s="193">
        <v>570</v>
      </c>
      <c r="Z10" s="194">
        <v>36.299999999999997</v>
      </c>
      <c r="AA10" s="193">
        <v>130</v>
      </c>
      <c r="AB10" s="194">
        <v>37.799999999999997</v>
      </c>
      <c r="AC10" s="193">
        <v>70</v>
      </c>
      <c r="AD10" s="194">
        <v>38.200000000000003</v>
      </c>
      <c r="AE10" s="193">
        <v>770</v>
      </c>
      <c r="AF10" s="194">
        <v>36.700000000000003</v>
      </c>
    </row>
    <row r="11" spans="1:54" ht="15" customHeight="1" x14ac:dyDescent="0.25">
      <c r="A11" s="110"/>
      <c r="B11" s="175"/>
      <c r="C11" s="193"/>
      <c r="D11" s="193"/>
      <c r="E11" s="193"/>
      <c r="F11" s="193"/>
      <c r="G11" s="193"/>
      <c r="H11" s="193"/>
      <c r="I11" s="193"/>
      <c r="J11" s="193"/>
      <c r="K11" s="211">
        <f>K10+1</f>
        <v>2</v>
      </c>
      <c r="L11" s="110"/>
      <c r="M11" s="175"/>
      <c r="N11" s="193"/>
      <c r="O11" s="193"/>
      <c r="P11" s="193"/>
      <c r="Q11" s="193"/>
      <c r="R11" s="193"/>
      <c r="S11" s="193"/>
      <c r="T11" s="193"/>
      <c r="U11" s="193"/>
      <c r="W11" s="110"/>
      <c r="X11" s="175"/>
      <c r="Y11" s="193"/>
      <c r="Z11" s="193"/>
      <c r="AA11" s="193"/>
      <c r="AB11" s="193"/>
      <c r="AC11" s="193"/>
      <c r="AD11" s="193"/>
      <c r="AE11" s="193"/>
      <c r="AF11" s="193"/>
    </row>
    <row r="12" spans="1:54" ht="15" customHeight="1" x14ac:dyDescent="0.25">
      <c r="A12" s="223" t="s">
        <v>45</v>
      </c>
      <c r="B12" s="175"/>
      <c r="C12" s="193">
        <v>570</v>
      </c>
      <c r="D12" s="194">
        <v>46.2</v>
      </c>
      <c r="E12" s="193">
        <v>160</v>
      </c>
      <c r="F12" s="194">
        <v>43.2</v>
      </c>
      <c r="G12" s="193">
        <v>80</v>
      </c>
      <c r="H12" s="194">
        <v>44</v>
      </c>
      <c r="I12" s="193">
        <v>800</v>
      </c>
      <c r="J12" s="194">
        <v>45.4</v>
      </c>
      <c r="K12" s="211">
        <f t="shared" ref="K12:K16" si="0">K11+1</f>
        <v>3</v>
      </c>
      <c r="L12" s="223" t="s">
        <v>45</v>
      </c>
      <c r="M12" s="175"/>
      <c r="N12" s="193">
        <v>250</v>
      </c>
      <c r="O12" s="194">
        <v>46.2</v>
      </c>
      <c r="P12" s="193">
        <v>70</v>
      </c>
      <c r="Q12" s="194">
        <v>40.5</v>
      </c>
      <c r="R12" s="193">
        <v>30</v>
      </c>
      <c r="S12" s="194">
        <v>42.6</v>
      </c>
      <c r="T12" s="193">
        <v>340</v>
      </c>
      <c r="U12" s="194">
        <v>44.8</v>
      </c>
      <c r="W12" s="223" t="s">
        <v>45</v>
      </c>
      <c r="X12" s="175"/>
      <c r="Y12" s="193">
        <v>320</v>
      </c>
      <c r="Z12" s="194">
        <v>46.2</v>
      </c>
      <c r="AA12" s="193">
        <v>90</v>
      </c>
      <c r="AB12" s="194">
        <v>45.1</v>
      </c>
      <c r="AC12" s="193">
        <v>50</v>
      </c>
      <c r="AD12" s="194">
        <v>44.8</v>
      </c>
      <c r="AE12" s="193">
        <v>460</v>
      </c>
      <c r="AF12" s="194">
        <v>45.8</v>
      </c>
    </row>
    <row r="13" spans="1:54" ht="15" customHeight="1" x14ac:dyDescent="0.25">
      <c r="A13" s="223"/>
      <c r="B13" s="175"/>
      <c r="C13" s="195"/>
      <c r="D13" s="172"/>
      <c r="E13" s="195"/>
      <c r="F13" s="172"/>
      <c r="G13" s="195"/>
      <c r="H13" s="172"/>
      <c r="I13" s="195"/>
      <c r="J13" s="172"/>
      <c r="K13" s="211">
        <f t="shared" si="0"/>
        <v>4</v>
      </c>
      <c r="L13" s="223"/>
      <c r="M13" s="175"/>
      <c r="N13" s="195"/>
      <c r="O13" s="172"/>
      <c r="P13" s="195"/>
      <c r="Q13" s="172"/>
      <c r="R13" s="195"/>
      <c r="S13" s="172"/>
      <c r="T13" s="195"/>
      <c r="U13" s="172"/>
      <c r="W13" s="223"/>
      <c r="X13" s="175"/>
      <c r="Y13" s="195"/>
      <c r="Z13" s="172"/>
      <c r="AA13" s="195"/>
      <c r="AB13" s="172"/>
      <c r="AC13" s="195"/>
      <c r="AD13" s="172"/>
      <c r="AE13" s="195"/>
      <c r="AF13" s="172"/>
    </row>
    <row r="14" spans="1:54" ht="15" customHeight="1" x14ac:dyDescent="0.25">
      <c r="A14" s="223" t="s">
        <v>75</v>
      </c>
      <c r="B14" s="175"/>
      <c r="C14" s="193">
        <v>590</v>
      </c>
      <c r="D14" s="194">
        <v>23.1</v>
      </c>
      <c r="E14" s="193">
        <v>100</v>
      </c>
      <c r="F14" s="194">
        <v>23.5</v>
      </c>
      <c r="G14" s="193">
        <v>50</v>
      </c>
      <c r="H14" s="194">
        <v>22.9</v>
      </c>
      <c r="I14" s="193">
        <v>740</v>
      </c>
      <c r="J14" s="194">
        <v>23.2</v>
      </c>
      <c r="K14" s="211">
        <f t="shared" si="0"/>
        <v>5</v>
      </c>
      <c r="L14" s="223" t="s">
        <v>75</v>
      </c>
      <c r="M14" s="175"/>
      <c r="N14" s="193">
        <v>340</v>
      </c>
      <c r="O14" s="194">
        <v>23.1</v>
      </c>
      <c r="P14" s="193">
        <v>60</v>
      </c>
      <c r="Q14" s="194">
        <v>23.6</v>
      </c>
      <c r="R14" s="193">
        <v>30</v>
      </c>
      <c r="S14" s="194">
        <v>22.8</v>
      </c>
      <c r="T14" s="193">
        <v>430</v>
      </c>
      <c r="U14" s="194">
        <v>23.1</v>
      </c>
      <c r="W14" s="223" t="s">
        <v>75</v>
      </c>
      <c r="X14" s="175"/>
      <c r="Y14" s="193">
        <v>250</v>
      </c>
      <c r="Z14" s="194">
        <v>23.2</v>
      </c>
      <c r="AA14" s="193">
        <v>50</v>
      </c>
      <c r="AB14" s="194">
        <v>23.4</v>
      </c>
      <c r="AC14" s="193">
        <v>20</v>
      </c>
      <c r="AD14" s="194">
        <v>23</v>
      </c>
      <c r="AE14" s="193">
        <v>310</v>
      </c>
      <c r="AF14" s="194">
        <v>23.2</v>
      </c>
    </row>
    <row r="15" spans="1:54" ht="15" customHeight="1" x14ac:dyDescent="0.25">
      <c r="A15" s="223"/>
      <c r="B15" s="223" t="s">
        <v>133</v>
      </c>
      <c r="C15" s="193">
        <v>280</v>
      </c>
      <c r="D15" s="194">
        <v>15.3</v>
      </c>
      <c r="E15" s="193">
        <v>50</v>
      </c>
      <c r="F15" s="194">
        <v>16</v>
      </c>
      <c r="G15" s="193">
        <v>30</v>
      </c>
      <c r="H15" s="194">
        <v>9.3000000000000007</v>
      </c>
      <c r="I15" s="193">
        <v>360</v>
      </c>
      <c r="J15" s="194">
        <v>14.9</v>
      </c>
      <c r="K15" s="211">
        <f t="shared" si="0"/>
        <v>6</v>
      </c>
      <c r="L15" s="223"/>
      <c r="M15" s="223" t="s">
        <v>133</v>
      </c>
      <c r="N15" s="193">
        <v>170</v>
      </c>
      <c r="O15" s="194">
        <v>15.5</v>
      </c>
      <c r="P15" s="193">
        <v>30</v>
      </c>
      <c r="Q15" s="194">
        <v>18</v>
      </c>
      <c r="R15" s="193">
        <v>20</v>
      </c>
      <c r="S15" s="194">
        <v>11.8</v>
      </c>
      <c r="T15" s="193">
        <v>220</v>
      </c>
      <c r="U15" s="194">
        <v>15.6</v>
      </c>
      <c r="W15" s="223"/>
      <c r="X15" s="223" t="s">
        <v>133</v>
      </c>
      <c r="Y15" s="193">
        <v>110</v>
      </c>
      <c r="Z15" s="194">
        <v>14.9</v>
      </c>
      <c r="AA15" s="193">
        <v>10</v>
      </c>
      <c r="AB15" s="194">
        <v>10.7</v>
      </c>
      <c r="AC15" s="193">
        <v>10</v>
      </c>
      <c r="AD15" s="194">
        <v>4.0999999999999996</v>
      </c>
      <c r="AE15" s="193">
        <v>140</v>
      </c>
      <c r="AF15" s="194">
        <v>13.9</v>
      </c>
    </row>
    <row r="16" spans="1:54" ht="15" customHeight="1" x14ac:dyDescent="0.25">
      <c r="A16" s="223"/>
      <c r="B16" s="223" t="s">
        <v>134</v>
      </c>
      <c r="C16" s="193">
        <v>300</v>
      </c>
      <c r="D16" s="194">
        <v>30.5</v>
      </c>
      <c r="E16" s="193">
        <v>60</v>
      </c>
      <c r="F16" s="194">
        <v>29.9</v>
      </c>
      <c r="G16" s="193">
        <v>30</v>
      </c>
      <c r="H16" s="194">
        <v>34.6</v>
      </c>
      <c r="I16" s="193">
        <v>390</v>
      </c>
      <c r="J16" s="194">
        <v>30.7</v>
      </c>
      <c r="K16" s="211">
        <f t="shared" si="0"/>
        <v>7</v>
      </c>
      <c r="L16" s="223"/>
      <c r="M16" s="223" t="s">
        <v>134</v>
      </c>
      <c r="N16" s="193">
        <v>170</v>
      </c>
      <c r="O16" s="194">
        <v>30.6</v>
      </c>
      <c r="P16" s="193">
        <v>20</v>
      </c>
      <c r="Q16" s="194">
        <v>31.8</v>
      </c>
      <c r="R16" s="193">
        <v>20</v>
      </c>
      <c r="S16" s="194">
        <v>34.6</v>
      </c>
      <c r="T16" s="193">
        <v>210</v>
      </c>
      <c r="U16" s="194">
        <v>31</v>
      </c>
      <c r="W16" s="223"/>
      <c r="X16" s="223" t="s">
        <v>134</v>
      </c>
      <c r="Y16" s="193">
        <v>130</v>
      </c>
      <c r="Z16" s="194">
        <v>30.4</v>
      </c>
      <c r="AA16" s="193">
        <v>30</v>
      </c>
      <c r="AB16" s="194">
        <v>28.5</v>
      </c>
      <c r="AC16" s="193">
        <v>10</v>
      </c>
      <c r="AD16" s="194">
        <v>34.6</v>
      </c>
      <c r="AE16" s="193">
        <v>180</v>
      </c>
      <c r="AF16" s="194">
        <v>30.4</v>
      </c>
    </row>
    <row r="17" spans="1:32" ht="15" customHeight="1" x14ac:dyDescent="0.25">
      <c r="A17" s="224"/>
      <c r="B17" s="224"/>
      <c r="C17" s="225"/>
      <c r="D17" s="225"/>
      <c r="E17" s="225"/>
      <c r="F17" s="225"/>
      <c r="G17" s="225"/>
      <c r="H17" s="225"/>
      <c r="I17" s="225"/>
      <c r="J17" s="225"/>
      <c r="L17" s="224"/>
      <c r="M17" s="224"/>
      <c r="N17" s="225"/>
      <c r="O17" s="225"/>
      <c r="P17" s="225"/>
      <c r="Q17" s="225"/>
      <c r="R17" s="225"/>
      <c r="S17" s="225"/>
      <c r="T17" s="225"/>
      <c r="U17" s="225"/>
      <c r="W17" s="224"/>
      <c r="X17" s="224"/>
      <c r="Y17" s="225"/>
      <c r="Z17" s="225"/>
      <c r="AA17" s="225"/>
      <c r="AB17" s="225"/>
      <c r="AC17" s="225"/>
      <c r="AD17" s="225"/>
      <c r="AE17" s="225"/>
      <c r="AF17" s="225"/>
    </row>
    <row r="18" spans="1:32" ht="15" customHeight="1" x14ac:dyDescent="0.25">
      <c r="A18" s="112"/>
      <c r="B18" s="198"/>
      <c r="C18" s="198"/>
      <c r="D18" s="198"/>
      <c r="J18" s="178" t="s">
        <v>121</v>
      </c>
      <c r="L18" s="112"/>
      <c r="M18" s="198"/>
      <c r="N18" s="198"/>
      <c r="O18" s="198"/>
      <c r="U18" s="178" t="s">
        <v>121</v>
      </c>
      <c r="W18" s="112"/>
      <c r="X18" s="198"/>
      <c r="Y18" s="198"/>
      <c r="Z18" s="198"/>
      <c r="AF18" s="178" t="s">
        <v>121</v>
      </c>
    </row>
    <row r="19" spans="1:32" ht="15" customHeight="1" x14ac:dyDescent="0.25">
      <c r="A19" s="192"/>
      <c r="B19" s="198"/>
      <c r="C19" s="198"/>
      <c r="D19" s="198"/>
      <c r="L19" s="192"/>
      <c r="M19" s="198"/>
      <c r="N19" s="198"/>
      <c r="O19" s="198"/>
      <c r="W19" s="192"/>
      <c r="X19" s="198"/>
      <c r="Y19" s="198"/>
      <c r="Z19" s="198"/>
    </row>
    <row r="20" spans="1:32" ht="15" customHeight="1" x14ac:dyDescent="0.25"/>
    <row r="21" spans="1:32" s="271" customFormat="1" ht="15" customHeight="1" x14ac:dyDescent="0.25">
      <c r="A21" s="268"/>
      <c r="B21" s="269"/>
      <c r="C21" s="270">
        <v>1</v>
      </c>
      <c r="D21" s="270">
        <f>C21+1</f>
        <v>2</v>
      </c>
      <c r="E21" s="270">
        <f t="shared" ref="E21:AF21" si="1">D21+1</f>
        <v>3</v>
      </c>
      <c r="F21" s="270">
        <f t="shared" si="1"/>
        <v>4</v>
      </c>
      <c r="G21" s="270">
        <f t="shared" si="1"/>
        <v>5</v>
      </c>
      <c r="H21" s="270">
        <f t="shared" si="1"/>
        <v>6</v>
      </c>
      <c r="I21" s="270">
        <f t="shared" si="1"/>
        <v>7</v>
      </c>
      <c r="J21" s="270">
        <f t="shared" si="1"/>
        <v>8</v>
      </c>
      <c r="K21" s="270">
        <f t="shared" si="1"/>
        <v>9</v>
      </c>
      <c r="L21" s="270">
        <f t="shared" si="1"/>
        <v>10</v>
      </c>
      <c r="M21" s="270">
        <f t="shared" si="1"/>
        <v>11</v>
      </c>
      <c r="N21" s="270">
        <f t="shared" si="1"/>
        <v>12</v>
      </c>
      <c r="O21" s="270">
        <f t="shared" si="1"/>
        <v>13</v>
      </c>
      <c r="P21" s="270">
        <f t="shared" si="1"/>
        <v>14</v>
      </c>
      <c r="Q21" s="270">
        <f t="shared" si="1"/>
        <v>15</v>
      </c>
      <c r="R21" s="270">
        <f t="shared" si="1"/>
        <v>16</v>
      </c>
      <c r="S21" s="270">
        <f t="shared" si="1"/>
        <v>17</v>
      </c>
      <c r="T21" s="270">
        <f t="shared" si="1"/>
        <v>18</v>
      </c>
      <c r="U21" s="270">
        <f t="shared" si="1"/>
        <v>19</v>
      </c>
      <c r="V21" s="270">
        <f t="shared" si="1"/>
        <v>20</v>
      </c>
      <c r="W21" s="270">
        <f t="shared" si="1"/>
        <v>21</v>
      </c>
      <c r="X21" s="270">
        <f t="shared" si="1"/>
        <v>22</v>
      </c>
      <c r="Y21" s="270">
        <f t="shared" si="1"/>
        <v>23</v>
      </c>
      <c r="Z21" s="270">
        <f t="shared" si="1"/>
        <v>24</v>
      </c>
      <c r="AA21" s="270">
        <f t="shared" si="1"/>
        <v>25</v>
      </c>
      <c r="AB21" s="270">
        <f t="shared" si="1"/>
        <v>26</v>
      </c>
      <c r="AC21" s="270">
        <f t="shared" si="1"/>
        <v>27</v>
      </c>
      <c r="AD21" s="270">
        <f t="shared" si="1"/>
        <v>28</v>
      </c>
      <c r="AE21" s="270">
        <f t="shared" si="1"/>
        <v>29</v>
      </c>
      <c r="AF21" s="270">
        <f t="shared" si="1"/>
        <v>30</v>
      </c>
    </row>
    <row r="22" spans="1:32" ht="15" customHeight="1" x14ac:dyDescent="0.25">
      <c r="A22" s="211"/>
      <c r="B22" s="211"/>
      <c r="C22" s="211"/>
      <c r="D22" s="211"/>
      <c r="E22" s="211"/>
      <c r="F22" s="211"/>
      <c r="G22" s="211"/>
      <c r="H22" s="211"/>
      <c r="I22" s="211"/>
      <c r="J22" s="211"/>
      <c r="N22" s="211"/>
      <c r="O22" s="211"/>
      <c r="P22" s="211"/>
      <c r="Q22" s="211"/>
      <c r="R22" s="211"/>
      <c r="S22" s="211"/>
      <c r="T22" s="211"/>
      <c r="U22" s="211"/>
      <c r="Y22" s="211"/>
      <c r="Z22" s="211"/>
      <c r="AA22" s="211"/>
      <c r="AB22" s="211"/>
      <c r="AC22" s="211"/>
      <c r="AD22" s="211"/>
      <c r="AE22" s="211"/>
      <c r="AF22" s="211"/>
    </row>
    <row r="23" spans="1:32" ht="15" customHeight="1" x14ac:dyDescent="0.25">
      <c r="A23" s="268"/>
      <c r="B23" s="211"/>
      <c r="C23" s="211"/>
      <c r="D23" s="211"/>
      <c r="E23" s="211"/>
      <c r="F23" s="211"/>
      <c r="G23" s="211"/>
      <c r="H23" s="211"/>
      <c r="I23" s="211"/>
      <c r="J23" s="211"/>
      <c r="N23" s="211"/>
      <c r="O23" s="211"/>
      <c r="P23" s="211"/>
      <c r="Q23" s="211"/>
      <c r="R23" s="211"/>
      <c r="S23" s="211"/>
      <c r="T23" s="211"/>
      <c r="U23" s="211"/>
      <c r="Y23" s="211"/>
      <c r="Z23" s="211"/>
      <c r="AA23" s="211"/>
      <c r="AB23" s="211"/>
      <c r="AC23" s="211"/>
      <c r="AD23" s="211"/>
      <c r="AE23" s="211"/>
      <c r="AF23" s="211"/>
    </row>
    <row r="24" spans="1:32" ht="15" customHeight="1" x14ac:dyDescent="0.25">
      <c r="A24" s="211"/>
      <c r="B24" s="211"/>
      <c r="C24" s="211"/>
      <c r="D24" s="211"/>
      <c r="E24" s="211"/>
      <c r="F24" s="211"/>
      <c r="G24" s="211"/>
      <c r="H24" s="211"/>
      <c r="I24" s="211"/>
      <c r="J24" s="211"/>
      <c r="N24" s="211"/>
      <c r="O24" s="211"/>
      <c r="P24" s="211"/>
      <c r="Q24" s="211"/>
      <c r="R24" s="211"/>
      <c r="S24" s="211"/>
      <c r="T24" s="211"/>
      <c r="U24" s="211"/>
      <c r="Y24" s="211"/>
      <c r="Z24" s="211"/>
      <c r="AA24" s="211"/>
      <c r="AB24" s="211"/>
      <c r="AC24" s="211"/>
      <c r="AD24" s="211"/>
      <c r="AE24" s="211"/>
      <c r="AF24" s="211"/>
    </row>
    <row r="25" spans="1:32" ht="15" customHeight="1" x14ac:dyDescent="0.25">
      <c r="C25" s="211"/>
      <c r="D25" s="211"/>
      <c r="E25" s="211"/>
      <c r="F25" s="211"/>
      <c r="G25" s="211"/>
      <c r="H25" s="211"/>
      <c r="I25" s="211"/>
      <c r="J25" s="211"/>
      <c r="N25" s="211"/>
      <c r="O25" s="211"/>
      <c r="P25" s="211"/>
      <c r="Q25" s="211"/>
      <c r="R25" s="211"/>
      <c r="S25" s="211"/>
      <c r="T25" s="211"/>
      <c r="U25" s="211"/>
      <c r="Y25" s="211"/>
      <c r="Z25" s="211"/>
      <c r="AA25" s="211"/>
      <c r="AB25" s="211"/>
      <c r="AC25" s="211"/>
      <c r="AD25" s="211"/>
      <c r="AE25" s="211"/>
      <c r="AF25" s="211"/>
    </row>
    <row r="26" spans="1:32" ht="15" customHeight="1" x14ac:dyDescent="0.25">
      <c r="C26" s="211"/>
      <c r="D26" s="211"/>
      <c r="E26" s="211"/>
      <c r="F26" s="211"/>
      <c r="G26" s="211"/>
      <c r="H26" s="211"/>
      <c r="I26" s="211"/>
      <c r="J26" s="211"/>
      <c r="N26" s="211"/>
      <c r="O26" s="211"/>
      <c r="P26" s="211"/>
      <c r="Q26" s="211"/>
      <c r="R26" s="211"/>
      <c r="S26" s="211"/>
      <c r="T26" s="211"/>
      <c r="U26" s="211"/>
      <c r="Y26" s="211"/>
      <c r="Z26" s="211"/>
      <c r="AA26" s="211"/>
      <c r="AB26" s="211"/>
      <c r="AC26" s="211"/>
      <c r="AD26" s="211"/>
      <c r="AE26" s="211"/>
      <c r="AF26" s="211"/>
    </row>
    <row r="27" spans="1:32" x14ac:dyDescent="0.25">
      <c r="C27" s="211"/>
      <c r="D27" s="211"/>
      <c r="E27" s="211"/>
      <c r="F27" s="211"/>
      <c r="G27" s="211"/>
      <c r="H27" s="211"/>
      <c r="I27" s="211"/>
      <c r="J27" s="211"/>
      <c r="N27" s="211"/>
      <c r="O27" s="211"/>
      <c r="P27" s="211"/>
      <c r="Q27" s="211"/>
      <c r="R27" s="211"/>
      <c r="S27" s="211"/>
      <c r="T27" s="211"/>
      <c r="U27" s="211"/>
      <c r="Y27" s="211"/>
      <c r="Z27" s="211"/>
      <c r="AA27" s="211"/>
      <c r="AB27" s="211"/>
      <c r="AC27" s="211"/>
      <c r="AD27" s="211"/>
      <c r="AE27" s="211"/>
      <c r="AF27" s="211"/>
    </row>
    <row r="28" spans="1:32" x14ac:dyDescent="0.25">
      <c r="C28" s="211"/>
      <c r="D28" s="211"/>
      <c r="E28" s="211"/>
      <c r="F28" s="211"/>
      <c r="G28" s="211"/>
      <c r="H28" s="211"/>
      <c r="I28" s="211"/>
      <c r="J28" s="211"/>
      <c r="N28" s="211"/>
      <c r="O28" s="211"/>
      <c r="P28" s="211"/>
      <c r="Q28" s="211"/>
      <c r="R28" s="211"/>
      <c r="S28" s="211"/>
      <c r="T28" s="211"/>
      <c r="U28" s="211"/>
      <c r="Y28" s="211"/>
      <c r="Z28" s="211"/>
      <c r="AA28" s="211"/>
      <c r="AB28" s="211"/>
      <c r="AC28" s="211"/>
      <c r="AD28" s="211"/>
      <c r="AE28" s="211"/>
      <c r="AF28" s="211"/>
    </row>
  </sheetData>
  <mergeCells count="15">
    <mergeCell ref="A3:J3"/>
    <mergeCell ref="L3:U3"/>
    <mergeCell ref="W3:AF3"/>
    <mergeCell ref="C7:D7"/>
    <mergeCell ref="E7:F7"/>
    <mergeCell ref="G7:H7"/>
    <mergeCell ref="I7:J7"/>
    <mergeCell ref="N7:O7"/>
    <mergeCell ref="P7:Q7"/>
    <mergeCell ref="R7:S7"/>
    <mergeCell ref="T7:U7"/>
    <mergeCell ref="Y7:Z7"/>
    <mergeCell ref="AA7:AB7"/>
    <mergeCell ref="AC7:AD7"/>
    <mergeCell ref="AE7:AF7"/>
  </mergeCells>
  <dataValidations count="1">
    <dataValidation type="list" allowBlank="1" showInputMessage="1" showErrorMessage="1" sqref="J5 AF5 U5">
      <formula1>#REF!</formula1>
    </dataValidation>
  </dataValidations>
  <hyperlinks>
    <hyperlink ref="A2" location="INDEX!A1" display="Back to index"/>
    <hyperlink ref="L2" location="INDEX!A1" display="Back to index"/>
    <hyperlink ref="W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45"/>
  <sheetViews>
    <sheetView showGridLines="0" zoomScaleNormal="100" workbookViewId="0"/>
  </sheetViews>
  <sheetFormatPr defaultColWidth="9" defaultRowHeight="15" x14ac:dyDescent="0.25"/>
  <cols>
    <col min="1" max="1" width="5.85546875" style="7" customWidth="1"/>
    <col min="2" max="2" width="43.28515625" style="7" bestFit="1" customWidth="1"/>
    <col min="3" max="26" width="9" style="7"/>
    <col min="27" max="28" width="0" style="293" hidden="1" customWidth="1"/>
    <col min="29" max="30" width="0" style="7" hidden="1" customWidth="1"/>
    <col min="31" max="16384" width="9" style="7"/>
  </cols>
  <sheetData>
    <row r="1" spans="1:30" ht="15" customHeight="1" x14ac:dyDescent="0.25">
      <c r="A1" s="324"/>
      <c r="AA1" s="269" t="s">
        <v>17</v>
      </c>
      <c r="AB1" s="208" t="s">
        <v>20</v>
      </c>
    </row>
    <row r="2" spans="1:30" ht="15" customHeight="1" x14ac:dyDescent="0.25">
      <c r="A2" s="209" t="s">
        <v>12</v>
      </c>
      <c r="B2" s="198"/>
      <c r="C2" s="198"/>
      <c r="D2" s="198"/>
      <c r="AA2" s="269"/>
      <c r="AB2" s="208" t="s">
        <v>19</v>
      </c>
    </row>
    <row r="3" spans="1:30" ht="30" customHeight="1" x14ac:dyDescent="0.25">
      <c r="A3" s="349" t="s">
        <v>131</v>
      </c>
      <c r="B3" s="349"/>
      <c r="C3" s="349"/>
      <c r="D3" s="349"/>
      <c r="E3" s="349"/>
      <c r="F3" s="349"/>
      <c r="G3" s="349"/>
      <c r="H3" s="349"/>
      <c r="I3" s="349"/>
      <c r="J3" s="349"/>
      <c r="AA3" s="269"/>
      <c r="AB3" s="208" t="s">
        <v>18</v>
      </c>
    </row>
    <row r="4" spans="1:30" ht="15" customHeight="1" x14ac:dyDescent="0.25">
      <c r="A4" s="210" t="s">
        <v>14</v>
      </c>
      <c r="B4" s="104"/>
      <c r="C4" s="104"/>
      <c r="D4" s="104"/>
    </row>
    <row r="5" spans="1:30" ht="15" customHeight="1" x14ac:dyDescent="0.25">
      <c r="A5" s="113" t="s">
        <v>28</v>
      </c>
      <c r="B5" s="104"/>
      <c r="C5" s="104"/>
      <c r="D5" s="104"/>
      <c r="AB5" s="254">
        <f>IF(J11="Total",0,IF(J11="Male",11,22))</f>
        <v>0</v>
      </c>
    </row>
    <row r="6" spans="1:30" ht="15" customHeight="1" x14ac:dyDescent="0.25">
      <c r="A6" s="113"/>
      <c r="B6" s="104"/>
      <c r="C6" s="104"/>
      <c r="D6" s="104"/>
      <c r="AB6" s="254"/>
    </row>
    <row r="7" spans="1:30" s="198" customFormat="1" ht="15" customHeight="1" x14ac:dyDescent="0.25">
      <c r="A7" s="329" t="s">
        <v>124</v>
      </c>
      <c r="B7" s="330"/>
      <c r="C7" s="330"/>
      <c r="D7" s="330"/>
      <c r="E7" s="330"/>
      <c r="F7" s="330"/>
      <c r="G7" s="330"/>
      <c r="H7" s="330"/>
      <c r="I7" s="330"/>
      <c r="J7" s="330"/>
      <c r="K7" s="294"/>
      <c r="L7" s="294"/>
      <c r="M7" s="294"/>
      <c r="N7" s="294"/>
      <c r="O7" s="294"/>
      <c r="P7" s="294"/>
      <c r="Q7" s="294"/>
      <c r="AA7" s="208"/>
      <c r="AB7" s="276" t="s">
        <v>81</v>
      </c>
      <c r="AC7" s="208"/>
      <c r="AD7" s="208">
        <v>90</v>
      </c>
    </row>
    <row r="8" spans="1:30" s="198" customFormat="1" ht="15" customHeight="1" x14ac:dyDescent="0.25">
      <c r="A8" s="330"/>
      <c r="B8" s="330"/>
      <c r="C8" s="330"/>
      <c r="D8" s="330"/>
      <c r="E8" s="330"/>
      <c r="F8" s="330"/>
      <c r="G8" s="330"/>
      <c r="H8" s="330"/>
      <c r="I8" s="330"/>
      <c r="J8" s="330"/>
      <c r="K8" s="294"/>
      <c r="L8" s="294"/>
      <c r="M8" s="294"/>
      <c r="N8" s="294"/>
      <c r="O8" s="294"/>
      <c r="P8" s="294"/>
      <c r="Q8" s="294"/>
      <c r="AA8" s="208"/>
      <c r="AB8" s="254"/>
      <c r="AC8" s="208"/>
      <c r="AD8" s="208"/>
    </row>
    <row r="9" spans="1:30" s="105" customFormat="1" ht="15" customHeight="1" x14ac:dyDescent="0.25">
      <c r="A9" s="330"/>
      <c r="B9" s="330"/>
      <c r="C9" s="330"/>
      <c r="D9" s="330"/>
      <c r="E9" s="330"/>
      <c r="F9" s="330"/>
      <c r="G9" s="330"/>
      <c r="H9" s="330"/>
      <c r="I9" s="330"/>
      <c r="J9" s="330"/>
      <c r="K9" s="294"/>
      <c r="L9" s="294"/>
      <c r="M9" s="294"/>
      <c r="N9" s="294"/>
      <c r="O9" s="294"/>
      <c r="P9" s="294"/>
      <c r="Q9" s="294"/>
      <c r="R9" s="279"/>
      <c r="S9" s="279"/>
      <c r="T9" s="279"/>
      <c r="U9" s="279"/>
      <c r="AA9" s="293"/>
      <c r="AB9" s="254"/>
      <c r="AC9" s="7"/>
      <c r="AD9" s="7"/>
    </row>
    <row r="10" spans="1:30" ht="15" customHeight="1" x14ac:dyDescent="0.25">
      <c r="A10" s="330"/>
      <c r="B10" s="330"/>
      <c r="C10" s="330"/>
      <c r="D10" s="330"/>
      <c r="E10" s="330"/>
      <c r="F10" s="330"/>
      <c r="G10" s="330"/>
      <c r="H10" s="330"/>
      <c r="I10" s="330"/>
      <c r="J10" s="330"/>
      <c r="AB10" s="254"/>
    </row>
    <row r="11" spans="1:30" ht="15" customHeight="1" x14ac:dyDescent="0.25">
      <c r="B11" s="104"/>
      <c r="C11" s="104"/>
      <c r="D11" s="104"/>
      <c r="I11" s="240" t="s">
        <v>17</v>
      </c>
      <c r="J11" s="321" t="s">
        <v>20</v>
      </c>
      <c r="AB11" s="254"/>
    </row>
    <row r="12" spans="1:30" ht="15" customHeight="1" x14ac:dyDescent="0.25">
      <c r="A12" s="109"/>
      <c r="B12" s="175"/>
      <c r="C12" s="175"/>
      <c r="D12" s="175"/>
    </row>
    <row r="13" spans="1:30" ht="30" customHeight="1" x14ac:dyDescent="0.25">
      <c r="A13" s="215"/>
      <c r="B13" s="215"/>
      <c r="C13" s="350" t="s">
        <v>111</v>
      </c>
      <c r="D13" s="352"/>
      <c r="E13" s="350" t="s">
        <v>112</v>
      </c>
      <c r="F13" s="352"/>
      <c r="G13" s="350" t="s">
        <v>190</v>
      </c>
      <c r="H13" s="352"/>
      <c r="I13" s="350" t="s">
        <v>20</v>
      </c>
      <c r="J13" s="352"/>
    </row>
    <row r="14" spans="1:30" ht="45" customHeight="1" x14ac:dyDescent="0.25">
      <c r="A14" s="111"/>
      <c r="B14" s="217"/>
      <c r="C14" s="200" t="s">
        <v>63</v>
      </c>
      <c r="D14" s="200" t="s">
        <v>103</v>
      </c>
      <c r="E14" s="200" t="s">
        <v>63</v>
      </c>
      <c r="F14" s="200" t="s">
        <v>103</v>
      </c>
      <c r="G14" s="200" t="s">
        <v>63</v>
      </c>
      <c r="H14" s="200" t="s">
        <v>103</v>
      </c>
      <c r="I14" s="200" t="s">
        <v>63</v>
      </c>
      <c r="J14" s="200" t="s">
        <v>103</v>
      </c>
    </row>
    <row r="15" spans="1:30" ht="15" customHeight="1" x14ac:dyDescent="0.25">
      <c r="A15" s="108"/>
      <c r="B15" s="175"/>
      <c r="C15" s="175"/>
      <c r="D15" s="175"/>
      <c r="E15" s="175"/>
      <c r="F15" s="175"/>
      <c r="G15" s="175"/>
      <c r="H15" s="175"/>
      <c r="I15" s="175"/>
      <c r="J15" s="175"/>
    </row>
    <row r="16" spans="1:30" ht="15" customHeight="1" x14ac:dyDescent="0.25">
      <c r="A16" s="110" t="s">
        <v>20</v>
      </c>
      <c r="B16" s="175"/>
      <c r="C16" s="193">
        <f>INDEX('Table B2 feeder rounded values'!$C$10:$AF$16,1,1+$AB$5)</f>
        <v>1160</v>
      </c>
      <c r="D16" s="194">
        <f>INDEX('Table B2 feeder rounded values'!$C$10:$AF$16,1,2+$AB$5)</f>
        <v>34.5</v>
      </c>
      <c r="E16" s="193">
        <f>INDEX('Table B2 feeder rounded values'!$C$10:$AF$16,1,3+$AB$5)</f>
        <v>260</v>
      </c>
      <c r="F16" s="194">
        <f>INDEX('Table B2 feeder rounded values'!$C$10:$AF$16,1,4+$AB$5)</f>
        <v>35.299999999999997</v>
      </c>
      <c r="G16" s="193">
        <f>INDEX('Table B2 feeder rounded values'!$C$10:$AF$16,1,5+$AB$5)</f>
        <v>130</v>
      </c>
      <c r="H16" s="194">
        <f>INDEX('Table B2 feeder rounded values'!$C$10:$AF$16,1,6+$AB$5)</f>
        <v>35.200000000000003</v>
      </c>
      <c r="I16" s="193">
        <f>INDEX('Table B2 feeder rounded values'!$C$10:$AF$16,1,7+$AB$5)</f>
        <v>1540</v>
      </c>
      <c r="J16" s="194">
        <f>INDEX('Table B2 feeder rounded values'!$C$10:$AF$16,1,8+$AB$5)</f>
        <v>34.700000000000003</v>
      </c>
    </row>
    <row r="17" spans="1:30" ht="15" customHeight="1" x14ac:dyDescent="0.25">
      <c r="A17" s="110"/>
      <c r="B17" s="175"/>
      <c r="C17" s="193"/>
      <c r="D17" s="193"/>
      <c r="E17" s="193"/>
      <c r="F17" s="193"/>
      <c r="G17" s="193"/>
      <c r="H17" s="193"/>
      <c r="I17" s="193"/>
      <c r="J17" s="193"/>
    </row>
    <row r="18" spans="1:30" ht="15" customHeight="1" x14ac:dyDescent="0.25">
      <c r="A18" s="223" t="s">
        <v>45</v>
      </c>
      <c r="B18" s="175"/>
      <c r="C18" s="193">
        <f>INDEX('Table B2 feeder rounded values'!$C$10:$AF$16,3,1+$AB$5)</f>
        <v>570</v>
      </c>
      <c r="D18" s="194">
        <f>INDEX('Table B2 feeder rounded values'!$C$10:$AF$16,3,2+$AB$5)</f>
        <v>46.2</v>
      </c>
      <c r="E18" s="193">
        <f>INDEX('Table B2 feeder rounded values'!$C$10:$AF$16,3,3+$AB$5)</f>
        <v>160</v>
      </c>
      <c r="F18" s="194">
        <f>INDEX('Table B2 feeder rounded values'!$C$10:$AF$16,3,4+$AB$5)</f>
        <v>43.2</v>
      </c>
      <c r="G18" s="193">
        <f>INDEX('Table B2 feeder rounded values'!$C$10:$AF$16,3,5+$AB$5)</f>
        <v>80</v>
      </c>
      <c r="H18" s="194">
        <f>INDEX('Table B2 feeder rounded values'!$C$10:$AF$16,3,6+$AB$5)</f>
        <v>44</v>
      </c>
      <c r="I18" s="193">
        <f>INDEX('Table B2 feeder rounded values'!$C$10:$AF$16,3,7+$AB$5)</f>
        <v>800</v>
      </c>
      <c r="J18" s="194">
        <f>INDEX('Table B2 feeder rounded values'!$C$10:$AF$16,3,8+$AB$5)</f>
        <v>45.4</v>
      </c>
    </row>
    <row r="19" spans="1:30" ht="15" customHeight="1" x14ac:dyDescent="0.25">
      <c r="A19" s="223"/>
      <c r="B19" s="175"/>
      <c r="C19" s="195"/>
      <c r="D19" s="172"/>
      <c r="E19" s="195"/>
      <c r="F19" s="172"/>
      <c r="G19" s="195"/>
      <c r="H19" s="172"/>
      <c r="I19" s="195"/>
      <c r="J19" s="172"/>
    </row>
    <row r="20" spans="1:30" ht="15" customHeight="1" x14ac:dyDescent="0.25">
      <c r="A20" s="223" t="s">
        <v>75</v>
      </c>
      <c r="B20" s="175"/>
      <c r="C20" s="193">
        <f>INDEX('Table B2 feeder rounded values'!$C$10:$AF$16,5,1+$AB$5)</f>
        <v>590</v>
      </c>
      <c r="D20" s="194">
        <f>INDEX('Table B2 feeder rounded values'!$C$10:$AF$16,5,2+$AB$5)</f>
        <v>23.1</v>
      </c>
      <c r="E20" s="193">
        <f>INDEX('Table B2 feeder rounded values'!$C$10:$AF$16,5,3+$AB$5)</f>
        <v>100</v>
      </c>
      <c r="F20" s="194">
        <f>INDEX('Table B2 feeder rounded values'!$C$10:$AF$16,5,4+$AB$5)</f>
        <v>23.5</v>
      </c>
      <c r="G20" s="193">
        <f>INDEX('Table B2 feeder rounded values'!$C$10:$AF$16,5,5+$AB$5)</f>
        <v>50</v>
      </c>
      <c r="H20" s="194">
        <f>INDEX('Table B2 feeder rounded values'!$C$10:$AF$16,5,6+$AB$5)</f>
        <v>22.9</v>
      </c>
      <c r="I20" s="193">
        <f>INDEX('Table B2 feeder rounded values'!$C$10:$AF$16,5,7+$AB$5)</f>
        <v>740</v>
      </c>
      <c r="J20" s="194">
        <f>INDEX('Table B2 feeder rounded values'!$C$10:$AF$16,5,8+$AB$5)</f>
        <v>23.2</v>
      </c>
    </row>
    <row r="21" spans="1:30" ht="15" customHeight="1" x14ac:dyDescent="0.25">
      <c r="A21" s="223"/>
      <c r="B21" s="223" t="s">
        <v>171</v>
      </c>
      <c r="C21" s="193">
        <f>INDEX('Table B2 feeder rounded values'!$C$10:$AF$16,6,1+$AB$5)</f>
        <v>280</v>
      </c>
      <c r="D21" s="194">
        <f>INDEX('Table B2 feeder rounded values'!$C$10:$AF$16,6,2+$AB$5)</f>
        <v>15.3</v>
      </c>
      <c r="E21" s="193">
        <f>INDEX('Table B2 feeder rounded values'!$C$10:$AF$16,6,3+$AB$5)</f>
        <v>50</v>
      </c>
      <c r="F21" s="194">
        <f>INDEX('Table B2 feeder rounded values'!$C$10:$AF$16,6,4+$AB$5)</f>
        <v>16</v>
      </c>
      <c r="G21" s="193">
        <f>INDEX('Table B2 feeder rounded values'!$C$10:$AF$16,6,5+$AB$5)</f>
        <v>30</v>
      </c>
      <c r="H21" s="194">
        <f>INDEX('Table B2 feeder rounded values'!$C$10:$AF$16,6,6+$AB$5)</f>
        <v>9.3000000000000007</v>
      </c>
      <c r="I21" s="193">
        <f>INDEX('Table B2 feeder rounded values'!$C$10:$AF$16,6,7+$AB$5)</f>
        <v>360</v>
      </c>
      <c r="J21" s="194">
        <f>INDEX('Table B2 feeder rounded values'!$C$10:$AF$16,6,8+$AB$5)</f>
        <v>14.9</v>
      </c>
    </row>
    <row r="22" spans="1:30" ht="15" customHeight="1" x14ac:dyDescent="0.25">
      <c r="A22" s="223"/>
      <c r="B22" s="223" t="s">
        <v>172</v>
      </c>
      <c r="C22" s="193">
        <f>INDEX('Table B2 feeder rounded values'!$C$10:$AF$16,7,1+$AB$5)</f>
        <v>300</v>
      </c>
      <c r="D22" s="194">
        <f>INDEX('Table B2 feeder rounded values'!$C$10:$AF$16,7,2+$AB$5)</f>
        <v>30.5</v>
      </c>
      <c r="E22" s="193">
        <f>INDEX('Table B2 feeder rounded values'!$C$10:$AF$16,7,3+$AB$5)</f>
        <v>60</v>
      </c>
      <c r="F22" s="194">
        <f>INDEX('Table B2 feeder rounded values'!$C$10:$AF$16,7,4+$AB$5)</f>
        <v>29.9</v>
      </c>
      <c r="G22" s="193">
        <f>INDEX('Table B2 feeder rounded values'!$C$10:$AF$16,7,5+$AB$5)</f>
        <v>30</v>
      </c>
      <c r="H22" s="194">
        <f>INDEX('Table B2 feeder rounded values'!$C$10:$AF$16,7,6+$AB$5)</f>
        <v>34.6</v>
      </c>
      <c r="I22" s="193">
        <f>INDEX('Table B2 feeder rounded values'!$C$10:$AF$16,7,7+$AB$5)</f>
        <v>390</v>
      </c>
      <c r="J22" s="194">
        <f>INDEX('Table B2 feeder rounded values'!$C$10:$AF$16,7,8+$AB$5)</f>
        <v>30.7</v>
      </c>
    </row>
    <row r="23" spans="1:30" ht="15" customHeight="1" x14ac:dyDescent="0.25">
      <c r="A23" s="224"/>
      <c r="B23" s="224"/>
      <c r="C23" s="225"/>
      <c r="D23" s="225"/>
      <c r="E23" s="225"/>
      <c r="F23" s="225"/>
      <c r="G23" s="225"/>
      <c r="H23" s="225"/>
      <c r="I23" s="225"/>
      <c r="J23" s="225"/>
    </row>
    <row r="24" spans="1:30" ht="15" customHeight="1" x14ac:dyDescent="0.25">
      <c r="A24" s="112"/>
      <c r="B24" s="198"/>
      <c r="C24" s="198"/>
      <c r="D24" s="198"/>
      <c r="J24" s="178" t="s">
        <v>121</v>
      </c>
    </row>
    <row r="25" spans="1:30" ht="15" customHeight="1" x14ac:dyDescent="0.25">
      <c r="AA25" s="208"/>
      <c r="AB25" s="198"/>
      <c r="AC25" s="198"/>
      <c r="AD25" s="198"/>
    </row>
    <row r="26" spans="1:30" s="198" customFormat="1" ht="33.75" customHeight="1" x14ac:dyDescent="0.25">
      <c r="A26" s="356" t="s">
        <v>186</v>
      </c>
      <c r="B26" s="366"/>
      <c r="C26" s="366"/>
      <c r="D26" s="366"/>
      <c r="E26" s="366"/>
      <c r="F26" s="366"/>
      <c r="G26" s="366"/>
      <c r="H26" s="366"/>
      <c r="I26" s="366"/>
      <c r="J26" s="366"/>
      <c r="K26" s="296"/>
      <c r="L26" s="211"/>
      <c r="X26" s="208"/>
      <c r="Y26" s="254"/>
      <c r="Z26" s="208"/>
      <c r="AA26" s="16"/>
      <c r="AB26" s="16"/>
      <c r="AC26" s="16"/>
      <c r="AD26" s="16"/>
    </row>
    <row r="27" spans="1:30" s="16" customFormat="1" ht="33.75" customHeight="1" x14ac:dyDescent="0.25">
      <c r="A27" s="367" t="s">
        <v>167</v>
      </c>
      <c r="B27" s="368"/>
      <c r="C27" s="368"/>
      <c r="D27" s="368"/>
      <c r="E27" s="368"/>
      <c r="F27" s="368"/>
      <c r="G27" s="368"/>
      <c r="H27" s="368"/>
      <c r="I27" s="368"/>
      <c r="J27" s="368"/>
      <c r="K27" s="40"/>
      <c r="L27" s="40"/>
      <c r="M27" s="40"/>
      <c r="N27" s="43"/>
    </row>
    <row r="28" spans="1:30" s="16" customFormat="1" ht="22.5" customHeight="1" x14ac:dyDescent="0.25">
      <c r="A28" s="367" t="s">
        <v>168</v>
      </c>
      <c r="B28" s="368"/>
      <c r="C28" s="368"/>
      <c r="D28" s="368"/>
      <c r="E28" s="368"/>
      <c r="F28" s="368"/>
      <c r="G28" s="368"/>
      <c r="H28" s="368"/>
      <c r="I28" s="368"/>
      <c r="J28" s="368"/>
      <c r="K28" s="40"/>
      <c r="L28" s="40"/>
      <c r="M28" s="40"/>
      <c r="N28" s="43"/>
    </row>
    <row r="29" spans="1:30" s="16" customFormat="1" ht="11.25" customHeight="1" x14ac:dyDescent="0.25">
      <c r="A29" s="299" t="s">
        <v>169</v>
      </c>
      <c r="B29" s="85"/>
      <c r="C29" s="51"/>
      <c r="D29" s="43"/>
      <c r="E29" s="43"/>
      <c r="F29" s="43"/>
      <c r="G29" s="43"/>
      <c r="H29" s="43"/>
      <c r="I29" s="43"/>
      <c r="J29" s="43"/>
      <c r="K29" s="43"/>
      <c r="L29" s="43"/>
      <c r="M29" s="43"/>
      <c r="N29" s="43"/>
    </row>
    <row r="30" spans="1:30" s="16" customFormat="1" ht="45" customHeight="1" x14ac:dyDescent="0.25">
      <c r="A30" s="369" t="s">
        <v>170</v>
      </c>
      <c r="B30" s="370"/>
      <c r="C30" s="370"/>
      <c r="D30" s="370"/>
      <c r="E30" s="370"/>
      <c r="F30" s="370"/>
      <c r="G30" s="370"/>
      <c r="H30" s="370"/>
      <c r="I30" s="370"/>
      <c r="J30" s="370"/>
      <c r="K30" s="103"/>
      <c r="L30" s="103"/>
      <c r="M30" s="103"/>
      <c r="N30" s="300"/>
    </row>
    <row r="31" spans="1:30" s="16" customFormat="1" ht="11.25" customHeight="1" x14ac:dyDescent="0.25">
      <c r="A31" s="85"/>
      <c r="B31" s="85"/>
      <c r="C31" s="51"/>
      <c r="D31" s="43"/>
      <c r="E31" s="43"/>
      <c r="F31" s="43"/>
      <c r="G31" s="43"/>
      <c r="H31" s="43"/>
      <c r="I31" s="43"/>
      <c r="J31" s="43"/>
      <c r="K31" s="43"/>
      <c r="L31" s="43"/>
      <c r="M31" s="43"/>
      <c r="N31" s="43"/>
      <c r="AA31" s="208"/>
      <c r="AB31" s="198"/>
      <c r="AC31" s="198"/>
      <c r="AD31" s="198"/>
    </row>
    <row r="32" spans="1:30" s="198" customFormat="1" ht="11.25" customHeight="1" x14ac:dyDescent="0.25">
      <c r="A32" s="198" t="s">
        <v>162</v>
      </c>
      <c r="X32" s="208"/>
      <c r="Y32" s="208"/>
      <c r="Z32" s="208"/>
      <c r="AA32" s="7"/>
      <c r="AB32" s="7"/>
      <c r="AC32" s="7"/>
      <c r="AD32" s="7"/>
    </row>
    <row r="33" spans="1:28" ht="11.25" customHeight="1" x14ac:dyDescent="0.25">
      <c r="A33" s="336" t="s">
        <v>149</v>
      </c>
      <c r="B33" s="335"/>
      <c r="C33" s="335"/>
      <c r="D33" s="335"/>
      <c r="E33" s="335"/>
      <c r="F33" s="335"/>
      <c r="G33" s="335"/>
      <c r="H33" s="335"/>
      <c r="I33" s="335"/>
      <c r="J33" s="335"/>
      <c r="K33" s="335"/>
      <c r="L33" s="335"/>
      <c r="M33" s="335"/>
      <c r="N33" s="335"/>
      <c r="AA33" s="7"/>
      <c r="AB33" s="7"/>
    </row>
    <row r="34" spans="1:28" ht="11.25" customHeight="1" x14ac:dyDescent="0.25">
      <c r="A34" s="235" t="s">
        <v>150</v>
      </c>
      <c r="B34" s="198"/>
      <c r="C34" s="198"/>
      <c r="D34" s="198"/>
      <c r="E34" s="198"/>
      <c r="F34" s="198"/>
      <c r="G34" s="198"/>
      <c r="H34" s="198"/>
      <c r="I34" s="198"/>
      <c r="J34" s="198"/>
      <c r="K34" s="198"/>
      <c r="L34" s="198"/>
      <c r="M34" s="198"/>
      <c r="N34" s="198"/>
      <c r="AA34" s="7"/>
      <c r="AB34" s="7"/>
    </row>
    <row r="35" spans="1:28" ht="11.25" customHeight="1" x14ac:dyDescent="0.25">
      <c r="A35" s="235" t="s">
        <v>151</v>
      </c>
      <c r="B35" s="198"/>
      <c r="C35" s="198"/>
      <c r="D35" s="198"/>
      <c r="E35" s="198"/>
      <c r="F35" s="198"/>
      <c r="G35" s="198"/>
      <c r="H35" s="198"/>
      <c r="I35" s="198"/>
      <c r="J35" s="198"/>
      <c r="K35" s="198"/>
      <c r="L35" s="198"/>
      <c r="M35" s="198"/>
      <c r="N35" s="198"/>
      <c r="AA35" s="7"/>
      <c r="AB35" s="7"/>
    </row>
    <row r="36" spans="1:28" ht="11.25" customHeight="1" x14ac:dyDescent="0.25">
      <c r="A36" s="235" t="s">
        <v>152</v>
      </c>
      <c r="B36" s="198"/>
      <c r="C36" s="198"/>
      <c r="D36" s="198"/>
      <c r="E36" s="198"/>
      <c r="F36" s="198"/>
      <c r="G36" s="198"/>
      <c r="H36" s="198"/>
      <c r="I36" s="198"/>
      <c r="J36" s="198"/>
      <c r="K36" s="198"/>
      <c r="L36" s="198"/>
      <c r="M36" s="198"/>
      <c r="N36" s="198"/>
      <c r="AA36" s="7"/>
      <c r="AB36" s="7"/>
    </row>
    <row r="37" spans="1:28" ht="11.25" customHeight="1" x14ac:dyDescent="0.25">
      <c r="A37" s="235" t="str">
        <f>"-  (hyphen)  negligible"</f>
        <v>-  (hyphen)  negligible</v>
      </c>
      <c r="B37" s="198"/>
      <c r="C37" s="198"/>
      <c r="D37" s="198"/>
      <c r="E37" s="198"/>
      <c r="F37" s="198"/>
      <c r="G37" s="198"/>
      <c r="H37" s="198"/>
      <c r="I37" s="198"/>
      <c r="J37" s="198"/>
      <c r="K37" s="198"/>
      <c r="L37" s="198"/>
      <c r="M37" s="198"/>
      <c r="N37" s="198"/>
      <c r="AA37" s="7"/>
      <c r="AB37" s="7"/>
    </row>
    <row r="38" spans="1:28" ht="11.25" customHeight="1" x14ac:dyDescent="0.25">
      <c r="A38" s="198" t="s">
        <v>27</v>
      </c>
      <c r="B38" s="198"/>
      <c r="C38" s="198"/>
      <c r="D38" s="198"/>
      <c r="E38" s="198"/>
      <c r="F38" s="198"/>
      <c r="G38" s="198"/>
      <c r="H38" s="198"/>
      <c r="I38" s="198"/>
      <c r="J38" s="198"/>
      <c r="K38" s="198"/>
      <c r="L38" s="198"/>
      <c r="M38" s="198"/>
      <c r="N38" s="198"/>
    </row>
    <row r="39" spans="1:28" ht="15" customHeight="1" x14ac:dyDescent="0.25">
      <c r="A39" s="349"/>
      <c r="B39" s="349"/>
      <c r="C39" s="349"/>
      <c r="D39" s="349"/>
      <c r="E39" s="349"/>
      <c r="F39" s="349"/>
      <c r="G39" s="349"/>
      <c r="H39" s="349"/>
      <c r="I39" s="349"/>
      <c r="J39" s="349"/>
    </row>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sheetData>
  <sheetProtection algorithmName="SHA-512" hashValue="FbBZ+6FXpKlp1/0uOSmJPMJOCX+2Si/uOMIVg8D9Jlzm4fjE1HecE8lEwO+iXa+9JxfJZwcT8wULoFgGnbh5Mg==" saltValue="s8+Al2nesEosF5SCHGHjUg==" spinCount="100000" sheet="1" objects="1" scenarios="1" selectLockedCells="1"/>
  <mergeCells count="12">
    <mergeCell ref="A39:J39"/>
    <mergeCell ref="A7:J10"/>
    <mergeCell ref="A3:J3"/>
    <mergeCell ref="C13:D13"/>
    <mergeCell ref="E13:F13"/>
    <mergeCell ref="G13:H13"/>
    <mergeCell ref="I13:J13"/>
    <mergeCell ref="A26:J26"/>
    <mergeCell ref="A27:J27"/>
    <mergeCell ref="A28:J28"/>
    <mergeCell ref="A30:J30"/>
    <mergeCell ref="A33:N33"/>
  </mergeCells>
  <dataValidations count="1">
    <dataValidation type="list" allowBlank="1" showInputMessage="1" showErrorMessage="1" sqref="J11">
      <formula1>$AB$1:$AB$3</formula1>
    </dataValidation>
  </dataValidations>
  <hyperlinks>
    <hyperlink ref="A2" location="INDEX!A1" display="Back to index"/>
    <hyperlink ref="A29" r:id="rId1"/>
  </hyperlinks>
  <pageMargins left="0.7" right="0.7" top="0.75" bottom="0.75" header="0.3" footer="0.3"/>
  <pageSetup paperSize="9" scale="74"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D38"/>
  <sheetViews>
    <sheetView workbookViewId="0"/>
  </sheetViews>
  <sheetFormatPr defaultColWidth="9" defaultRowHeight="15" x14ac:dyDescent="0.25"/>
  <cols>
    <col min="1" max="1" width="5.42578125" style="7" customWidth="1"/>
    <col min="2" max="2" width="56.85546875" style="7" customWidth="1"/>
    <col min="3" max="6" width="9" style="7"/>
    <col min="7" max="7" width="3.140625" style="7" customWidth="1"/>
    <col min="8" max="11" width="9" style="7"/>
    <col min="12" max="12" width="3.140625" style="7" customWidth="1"/>
    <col min="13" max="16" width="9" style="7"/>
    <col min="17" max="17" width="4" style="7" customWidth="1"/>
    <col min="18" max="22" width="9" style="7"/>
    <col min="23" max="23" width="5.42578125" style="7" customWidth="1"/>
    <col min="24" max="24" width="56.85546875" style="7" customWidth="1"/>
    <col min="25" max="28" width="9" style="7"/>
    <col min="29" max="29" width="3.140625" style="7" customWidth="1"/>
    <col min="30" max="33" width="9" style="7"/>
    <col min="34" max="34" width="3.140625" style="7" customWidth="1"/>
    <col min="35" max="38" width="9" style="7"/>
    <col min="39" max="39" width="4" style="7" customWidth="1"/>
    <col min="40" max="44" width="9" style="7"/>
    <col min="45" max="45" width="5.42578125" style="7" customWidth="1"/>
    <col min="46" max="46" width="56.85546875" style="7" customWidth="1"/>
    <col min="47" max="50" width="9" style="7"/>
    <col min="51" max="51" width="3.140625" style="7" customWidth="1"/>
    <col min="52" max="55" width="9" style="7"/>
    <col min="56" max="56" width="3.140625" style="7" customWidth="1"/>
    <col min="57" max="60" width="9" style="7"/>
    <col min="61" max="61" width="4" style="7" customWidth="1"/>
    <col min="62" max="80" width="9" style="7"/>
    <col min="81" max="81" width="18.42578125" style="7" bestFit="1" customWidth="1"/>
    <col min="82" max="16384" width="9" style="7"/>
  </cols>
  <sheetData>
    <row r="1" spans="1:82" ht="15" customHeight="1" x14ac:dyDescent="0.25">
      <c r="A1" s="266"/>
      <c r="W1" s="266"/>
      <c r="AS1" s="266"/>
      <c r="CC1" s="211"/>
      <c r="CD1" s="211"/>
    </row>
    <row r="2" spans="1:82" ht="15" customHeight="1" x14ac:dyDescent="0.25">
      <c r="A2" s="209"/>
      <c r="B2" s="198"/>
      <c r="C2" s="198"/>
      <c r="D2" s="198"/>
      <c r="E2" s="198"/>
      <c r="F2" s="198"/>
      <c r="G2" s="198"/>
      <c r="W2" s="209"/>
      <c r="X2" s="198"/>
      <c r="Y2" s="198"/>
      <c r="Z2" s="198"/>
      <c r="AA2" s="198"/>
      <c r="AB2" s="198"/>
      <c r="AC2" s="198"/>
      <c r="AS2" s="209"/>
      <c r="AT2" s="198"/>
      <c r="AU2" s="198"/>
      <c r="AV2" s="198"/>
      <c r="AW2" s="198"/>
      <c r="AX2" s="198"/>
      <c r="AY2" s="198"/>
      <c r="CC2" s="211"/>
      <c r="CD2" s="211"/>
    </row>
    <row r="3" spans="1:82" ht="30" customHeight="1" x14ac:dyDescent="0.25">
      <c r="A3" s="349" t="s">
        <v>135</v>
      </c>
      <c r="B3" s="349"/>
      <c r="C3" s="349"/>
      <c r="D3" s="349"/>
      <c r="E3" s="349"/>
      <c r="F3" s="349"/>
      <c r="G3" s="349"/>
      <c r="H3" s="349"/>
      <c r="I3" s="349"/>
      <c r="J3" s="349"/>
      <c r="K3" s="349"/>
      <c r="L3" s="349"/>
      <c r="M3" s="349"/>
      <c r="N3" s="349"/>
      <c r="O3" s="349"/>
      <c r="P3" s="349"/>
      <c r="W3" s="349" t="s">
        <v>135</v>
      </c>
      <c r="X3" s="349"/>
      <c r="Y3" s="349"/>
      <c r="Z3" s="349"/>
      <c r="AA3" s="349"/>
      <c r="AB3" s="349"/>
      <c r="AC3" s="349"/>
      <c r="AD3" s="349"/>
      <c r="AE3" s="349"/>
      <c r="AF3" s="349"/>
      <c r="AG3" s="349"/>
      <c r="AH3" s="349"/>
      <c r="AI3" s="349"/>
      <c r="AJ3" s="349"/>
      <c r="AK3" s="349"/>
      <c r="AL3" s="349"/>
      <c r="AS3" s="349" t="s">
        <v>135</v>
      </c>
      <c r="AT3" s="349"/>
      <c r="AU3" s="349"/>
      <c r="AV3" s="349"/>
      <c r="AW3" s="349"/>
      <c r="AX3" s="349"/>
      <c r="AY3" s="349"/>
      <c r="AZ3" s="349"/>
      <c r="BA3" s="349"/>
      <c r="BB3" s="349"/>
      <c r="BC3" s="349"/>
      <c r="BD3" s="349"/>
      <c r="BE3" s="349"/>
      <c r="BF3" s="349"/>
      <c r="BG3" s="349"/>
      <c r="BH3" s="349"/>
    </row>
    <row r="4" spans="1:82" ht="15" customHeight="1" x14ac:dyDescent="0.25">
      <c r="A4" s="210" t="s">
        <v>14</v>
      </c>
      <c r="B4" s="104"/>
      <c r="C4" s="104"/>
      <c r="D4" s="104"/>
      <c r="E4" s="104"/>
      <c r="F4" s="104"/>
      <c r="G4" s="104"/>
      <c r="W4" s="210" t="s">
        <v>14</v>
      </c>
      <c r="X4" s="104"/>
      <c r="Y4" s="104"/>
      <c r="Z4" s="104"/>
      <c r="AA4" s="104"/>
      <c r="AB4" s="104"/>
      <c r="AC4" s="104"/>
      <c r="AS4" s="210" t="s">
        <v>14</v>
      </c>
      <c r="AT4" s="104"/>
      <c r="AU4" s="104"/>
      <c r="AV4" s="104"/>
      <c r="AW4" s="104"/>
      <c r="AX4" s="104"/>
      <c r="AY4" s="104"/>
    </row>
    <row r="5" spans="1:82" ht="15" customHeight="1" x14ac:dyDescent="0.25">
      <c r="A5" s="113" t="s">
        <v>64</v>
      </c>
      <c r="B5" s="104"/>
      <c r="C5" s="104"/>
      <c r="D5" s="104"/>
      <c r="E5" s="104"/>
      <c r="F5" s="104"/>
      <c r="G5" s="104"/>
      <c r="U5" s="211" t="s">
        <v>20</v>
      </c>
      <c r="W5" s="113" t="s">
        <v>64</v>
      </c>
      <c r="X5" s="104"/>
      <c r="Y5" s="104"/>
      <c r="Z5" s="104"/>
      <c r="AA5" s="104"/>
      <c r="AB5" s="104"/>
      <c r="AC5" s="104"/>
      <c r="AQ5" s="211" t="s">
        <v>19</v>
      </c>
      <c r="AS5" s="113" t="s">
        <v>64</v>
      </c>
      <c r="AT5" s="104"/>
      <c r="AU5" s="104"/>
      <c r="AV5" s="104"/>
      <c r="AW5" s="104"/>
      <c r="AX5" s="104"/>
      <c r="AY5" s="104"/>
      <c r="BM5" s="211" t="s">
        <v>18</v>
      </c>
    </row>
    <row r="6" spans="1:82" ht="15" customHeight="1" x14ac:dyDescent="0.25">
      <c r="A6" s="109"/>
      <c r="B6" s="175"/>
      <c r="C6" s="175"/>
      <c r="D6" s="175"/>
      <c r="E6" s="175"/>
      <c r="F6" s="175"/>
      <c r="G6" s="175"/>
      <c r="T6" s="240" t="s">
        <v>17</v>
      </c>
      <c r="U6" s="272" t="s">
        <v>20</v>
      </c>
      <c r="W6" s="109"/>
      <c r="X6" s="175"/>
      <c r="Y6" s="175"/>
      <c r="Z6" s="175"/>
      <c r="AA6" s="175"/>
      <c r="AB6" s="175"/>
      <c r="AC6" s="175"/>
      <c r="AP6" s="240" t="s">
        <v>17</v>
      </c>
      <c r="AQ6" s="272" t="s">
        <v>19</v>
      </c>
      <c r="AS6" s="109"/>
      <c r="AT6" s="175"/>
      <c r="AU6" s="175"/>
      <c r="AV6" s="175"/>
      <c r="AW6" s="175"/>
      <c r="AX6" s="175"/>
      <c r="AY6" s="175"/>
      <c r="BL6" s="240" t="s">
        <v>17</v>
      </c>
      <c r="BM6" s="272" t="s">
        <v>18</v>
      </c>
    </row>
    <row r="7" spans="1:82" ht="15" customHeight="1" x14ac:dyDescent="0.25">
      <c r="A7" s="212"/>
      <c r="B7" s="213"/>
      <c r="C7" s="214"/>
      <c r="D7" s="214"/>
      <c r="E7" s="214"/>
      <c r="F7" s="214"/>
      <c r="G7" s="214"/>
      <c r="W7" s="212"/>
      <c r="X7" s="213"/>
      <c r="Y7" s="214"/>
      <c r="Z7" s="214"/>
      <c r="AA7" s="214"/>
      <c r="AB7" s="214"/>
      <c r="AC7" s="214"/>
      <c r="AS7" s="212"/>
      <c r="AT7" s="213"/>
      <c r="AU7" s="214"/>
      <c r="AV7" s="214"/>
      <c r="AW7" s="214"/>
      <c r="AX7" s="214"/>
      <c r="AY7" s="214"/>
    </row>
    <row r="8" spans="1:82" ht="15" customHeight="1" x14ac:dyDescent="0.25">
      <c r="A8" s="215"/>
      <c r="B8" s="215"/>
      <c r="C8" s="350" t="s">
        <v>111</v>
      </c>
      <c r="D8" s="351"/>
      <c r="E8" s="351"/>
      <c r="F8" s="352"/>
      <c r="G8" s="216"/>
      <c r="H8" s="350" t="s">
        <v>112</v>
      </c>
      <c r="I8" s="351"/>
      <c r="J8" s="351"/>
      <c r="K8" s="352"/>
      <c r="L8" s="216"/>
      <c r="M8" s="350" t="s">
        <v>113</v>
      </c>
      <c r="N8" s="351"/>
      <c r="O8" s="351"/>
      <c r="P8" s="352"/>
      <c r="Q8" s="216"/>
      <c r="R8" s="350" t="s">
        <v>20</v>
      </c>
      <c r="S8" s="351"/>
      <c r="T8" s="351"/>
      <c r="U8" s="352"/>
      <c r="W8" s="215"/>
      <c r="X8" s="215"/>
      <c r="Y8" s="350" t="s">
        <v>111</v>
      </c>
      <c r="Z8" s="351"/>
      <c r="AA8" s="351"/>
      <c r="AB8" s="352"/>
      <c r="AC8" s="216"/>
      <c r="AD8" s="350" t="s">
        <v>112</v>
      </c>
      <c r="AE8" s="351"/>
      <c r="AF8" s="351"/>
      <c r="AG8" s="352"/>
      <c r="AH8" s="216"/>
      <c r="AI8" s="350" t="s">
        <v>113</v>
      </c>
      <c r="AJ8" s="351"/>
      <c r="AK8" s="351"/>
      <c r="AL8" s="352"/>
      <c r="AM8" s="216"/>
      <c r="AN8" s="350" t="s">
        <v>20</v>
      </c>
      <c r="AO8" s="351"/>
      <c r="AP8" s="351"/>
      <c r="AQ8" s="352"/>
      <c r="AS8" s="215"/>
      <c r="AT8" s="215"/>
      <c r="AU8" s="350" t="s">
        <v>111</v>
      </c>
      <c r="AV8" s="351"/>
      <c r="AW8" s="351"/>
      <c r="AX8" s="352"/>
      <c r="AY8" s="216"/>
      <c r="AZ8" s="350" t="s">
        <v>112</v>
      </c>
      <c r="BA8" s="351"/>
      <c r="BB8" s="351"/>
      <c r="BC8" s="352"/>
      <c r="BD8" s="216"/>
      <c r="BE8" s="350" t="s">
        <v>113</v>
      </c>
      <c r="BF8" s="351"/>
      <c r="BG8" s="351"/>
      <c r="BH8" s="352"/>
      <c r="BI8" s="216"/>
      <c r="BJ8" s="350" t="s">
        <v>20</v>
      </c>
      <c r="BK8" s="351"/>
      <c r="BL8" s="351"/>
      <c r="BM8" s="352"/>
    </row>
    <row r="9" spans="1:82" ht="33.75" x14ac:dyDescent="0.25">
      <c r="A9" s="111"/>
      <c r="B9" s="217"/>
      <c r="C9" s="218" t="s">
        <v>41</v>
      </c>
      <c r="D9" s="219" t="s">
        <v>65</v>
      </c>
      <c r="E9" s="220" t="s">
        <v>43</v>
      </c>
      <c r="F9" s="220" t="s">
        <v>44</v>
      </c>
      <c r="G9" s="220"/>
      <c r="H9" s="218" t="s">
        <v>41</v>
      </c>
      <c r="I9" s="219" t="s">
        <v>65</v>
      </c>
      <c r="J9" s="220" t="s">
        <v>43</v>
      </c>
      <c r="K9" s="220" t="s">
        <v>44</v>
      </c>
      <c r="L9" s="220"/>
      <c r="M9" s="218" t="s">
        <v>41</v>
      </c>
      <c r="N9" s="219" t="s">
        <v>65</v>
      </c>
      <c r="O9" s="220" t="s">
        <v>43</v>
      </c>
      <c r="P9" s="220" t="s">
        <v>44</v>
      </c>
      <c r="Q9" s="220"/>
      <c r="R9" s="218" t="s">
        <v>41</v>
      </c>
      <c r="S9" s="219" t="s">
        <v>65</v>
      </c>
      <c r="T9" s="220" t="s">
        <v>43</v>
      </c>
      <c r="U9" s="220" t="s">
        <v>44</v>
      </c>
      <c r="W9" s="111"/>
      <c r="X9" s="217"/>
      <c r="Y9" s="218" t="s">
        <v>41</v>
      </c>
      <c r="Z9" s="219" t="s">
        <v>65</v>
      </c>
      <c r="AA9" s="220" t="s">
        <v>43</v>
      </c>
      <c r="AB9" s="220" t="s">
        <v>44</v>
      </c>
      <c r="AC9" s="220"/>
      <c r="AD9" s="218" t="s">
        <v>41</v>
      </c>
      <c r="AE9" s="219" t="s">
        <v>65</v>
      </c>
      <c r="AF9" s="220" t="s">
        <v>43</v>
      </c>
      <c r="AG9" s="220" t="s">
        <v>44</v>
      </c>
      <c r="AH9" s="220"/>
      <c r="AI9" s="218" t="s">
        <v>41</v>
      </c>
      <c r="AJ9" s="219" t="s">
        <v>65</v>
      </c>
      <c r="AK9" s="220" t="s">
        <v>43</v>
      </c>
      <c r="AL9" s="220" t="s">
        <v>44</v>
      </c>
      <c r="AM9" s="220"/>
      <c r="AN9" s="218" t="s">
        <v>41</v>
      </c>
      <c r="AO9" s="219" t="s">
        <v>65</v>
      </c>
      <c r="AP9" s="220" t="s">
        <v>43</v>
      </c>
      <c r="AQ9" s="220" t="s">
        <v>44</v>
      </c>
      <c r="AS9" s="111"/>
      <c r="AT9" s="217"/>
      <c r="AU9" s="218" t="s">
        <v>41</v>
      </c>
      <c r="AV9" s="219" t="s">
        <v>65</v>
      </c>
      <c r="AW9" s="220" t="s">
        <v>43</v>
      </c>
      <c r="AX9" s="220" t="s">
        <v>44</v>
      </c>
      <c r="AY9" s="220"/>
      <c r="AZ9" s="218" t="s">
        <v>41</v>
      </c>
      <c r="BA9" s="219" t="s">
        <v>65</v>
      </c>
      <c r="BB9" s="220" t="s">
        <v>43</v>
      </c>
      <c r="BC9" s="220" t="s">
        <v>44</v>
      </c>
      <c r="BD9" s="220"/>
      <c r="BE9" s="218" t="s">
        <v>41</v>
      </c>
      <c r="BF9" s="219" t="s">
        <v>65</v>
      </c>
      <c r="BG9" s="220" t="s">
        <v>43</v>
      </c>
      <c r="BH9" s="220" t="s">
        <v>44</v>
      </c>
      <c r="BI9" s="220"/>
      <c r="BJ9" s="218" t="s">
        <v>41</v>
      </c>
      <c r="BK9" s="219" t="s">
        <v>65</v>
      </c>
      <c r="BL9" s="220" t="s">
        <v>43</v>
      </c>
      <c r="BM9" s="220" t="s">
        <v>44</v>
      </c>
    </row>
    <row r="10" spans="1:82" ht="15" customHeight="1" x14ac:dyDescent="0.25">
      <c r="A10" s="108"/>
      <c r="B10" s="175"/>
      <c r="C10" s="175"/>
      <c r="D10" s="175"/>
      <c r="E10" s="175"/>
      <c r="F10" s="175"/>
      <c r="G10" s="175"/>
      <c r="H10" s="175"/>
      <c r="I10" s="175"/>
      <c r="J10" s="175"/>
      <c r="K10" s="175"/>
      <c r="L10" s="175"/>
      <c r="M10" s="175"/>
      <c r="N10" s="175"/>
      <c r="O10" s="175"/>
      <c r="P10" s="175"/>
      <c r="Q10" s="175"/>
      <c r="R10" s="175"/>
      <c r="S10" s="175"/>
      <c r="T10" s="175"/>
      <c r="U10" s="175"/>
      <c r="W10" s="108"/>
      <c r="X10" s="175"/>
      <c r="Y10" s="175"/>
      <c r="Z10" s="175"/>
      <c r="AA10" s="175"/>
      <c r="AB10" s="175"/>
      <c r="AC10" s="175"/>
      <c r="AD10" s="175"/>
      <c r="AE10" s="175"/>
      <c r="AF10" s="175"/>
      <c r="AG10" s="175"/>
      <c r="AH10" s="175"/>
      <c r="AI10" s="175"/>
      <c r="AJ10" s="175"/>
      <c r="AK10" s="175"/>
      <c r="AL10" s="175"/>
      <c r="AM10" s="175"/>
      <c r="AN10" s="175"/>
      <c r="AO10" s="175"/>
      <c r="AP10" s="175"/>
      <c r="AQ10" s="175"/>
      <c r="AS10" s="108"/>
      <c r="AT10" s="175"/>
      <c r="AU10" s="175"/>
      <c r="AV10" s="175"/>
      <c r="AW10" s="175"/>
      <c r="AX10" s="175"/>
      <c r="AY10" s="175"/>
      <c r="AZ10" s="175"/>
      <c r="BA10" s="175"/>
      <c r="BB10" s="175"/>
      <c r="BC10" s="175"/>
      <c r="BD10" s="175"/>
      <c r="BE10" s="175"/>
      <c r="BF10" s="175"/>
      <c r="BG10" s="175"/>
      <c r="BH10" s="175"/>
      <c r="BI10" s="175"/>
      <c r="BJ10" s="175"/>
      <c r="BK10" s="175"/>
      <c r="BL10" s="175"/>
      <c r="BM10" s="175"/>
    </row>
    <row r="11" spans="1:82" ht="15" customHeight="1" x14ac:dyDescent="0.25">
      <c r="A11" s="108" t="s">
        <v>114</v>
      </c>
      <c r="B11" s="175"/>
      <c r="C11" s="193">
        <v>970</v>
      </c>
      <c r="D11" s="273">
        <v>-0.49</v>
      </c>
      <c r="E11" s="273">
        <v>-0.55000000000000004</v>
      </c>
      <c r="F11" s="273">
        <v>-0.42</v>
      </c>
      <c r="G11" s="193"/>
      <c r="H11" s="193">
        <v>220</v>
      </c>
      <c r="I11" s="273">
        <v>-0.38</v>
      </c>
      <c r="J11" s="273">
        <v>-0.52</v>
      </c>
      <c r="K11" s="273">
        <v>-0.24</v>
      </c>
      <c r="L11" s="193"/>
      <c r="M11" s="193">
        <v>100</v>
      </c>
      <c r="N11" s="273">
        <v>-0.43</v>
      </c>
      <c r="O11" s="273">
        <v>-0.64</v>
      </c>
      <c r="P11" s="273">
        <v>-0.22</v>
      </c>
      <c r="Q11" s="193"/>
      <c r="R11" s="193">
        <v>1300</v>
      </c>
      <c r="S11" s="273">
        <v>-0.46</v>
      </c>
      <c r="T11" s="273">
        <v>-0.52</v>
      </c>
      <c r="U11" s="273">
        <v>-0.41</v>
      </c>
      <c r="W11" s="108" t="s">
        <v>114</v>
      </c>
      <c r="X11" s="175"/>
      <c r="Y11" s="193">
        <v>480</v>
      </c>
      <c r="Z11" s="273">
        <v>-0.56999999999999995</v>
      </c>
      <c r="AA11" s="273">
        <v>-0.67</v>
      </c>
      <c r="AB11" s="273">
        <v>-0.48</v>
      </c>
      <c r="AC11" s="193"/>
      <c r="AD11" s="193">
        <v>100</v>
      </c>
      <c r="AE11" s="273">
        <v>-0.57999999999999996</v>
      </c>
      <c r="AF11" s="273">
        <v>-0.79</v>
      </c>
      <c r="AG11" s="273">
        <v>-0.37</v>
      </c>
      <c r="AH11" s="193"/>
      <c r="AI11" s="193">
        <v>40</v>
      </c>
      <c r="AJ11" s="273">
        <v>-0.45</v>
      </c>
      <c r="AK11" s="273">
        <v>-0.77</v>
      </c>
      <c r="AL11" s="273">
        <v>-0.13</v>
      </c>
      <c r="AM11" s="193"/>
      <c r="AN11" s="193">
        <v>620</v>
      </c>
      <c r="AO11" s="273">
        <v>-0.56000000000000005</v>
      </c>
      <c r="AP11" s="273">
        <v>-0.65</v>
      </c>
      <c r="AQ11" s="273">
        <v>-0.48</v>
      </c>
      <c r="AS11" s="108" t="s">
        <v>114</v>
      </c>
      <c r="AT11" s="175"/>
      <c r="AU11" s="193">
        <v>490</v>
      </c>
      <c r="AV11" s="273">
        <v>-0.41</v>
      </c>
      <c r="AW11" s="273">
        <v>-0.5</v>
      </c>
      <c r="AX11" s="273">
        <v>-0.31</v>
      </c>
      <c r="AY11" s="193"/>
      <c r="AZ11" s="193">
        <v>120</v>
      </c>
      <c r="BA11" s="273">
        <v>-0.21</v>
      </c>
      <c r="BB11" s="273">
        <v>-0.4</v>
      </c>
      <c r="BC11" s="273">
        <v>-0.02</v>
      </c>
      <c r="BD11" s="193"/>
      <c r="BE11" s="193">
        <v>60</v>
      </c>
      <c r="BF11" s="273">
        <v>-0.41</v>
      </c>
      <c r="BG11" s="273">
        <v>-0.68</v>
      </c>
      <c r="BH11" s="273">
        <v>-0.13</v>
      </c>
      <c r="BI11" s="193"/>
      <c r="BJ11" s="193">
        <v>670</v>
      </c>
      <c r="BK11" s="273">
        <v>-0.37</v>
      </c>
      <c r="BL11" s="273">
        <v>-0.45</v>
      </c>
      <c r="BM11" s="273">
        <v>-0.28999999999999998</v>
      </c>
    </row>
    <row r="12" spans="1:82" ht="15" customHeight="1" x14ac:dyDescent="0.25">
      <c r="A12" s="108"/>
      <c r="B12" s="175"/>
      <c r="C12" s="175"/>
      <c r="D12" s="175"/>
      <c r="E12" s="175"/>
      <c r="F12" s="175"/>
      <c r="G12" s="175"/>
      <c r="H12" s="175"/>
      <c r="I12" s="175"/>
      <c r="J12" s="175"/>
      <c r="K12" s="175"/>
      <c r="L12" s="175"/>
      <c r="M12" s="175"/>
      <c r="N12" s="175"/>
      <c r="O12" s="175"/>
      <c r="P12" s="175"/>
      <c r="Q12" s="175"/>
      <c r="R12" s="175"/>
      <c r="S12" s="175"/>
      <c r="T12" s="175"/>
      <c r="U12" s="175"/>
      <c r="W12" s="108"/>
      <c r="X12" s="175"/>
      <c r="Y12" s="175"/>
      <c r="Z12" s="175"/>
      <c r="AA12" s="175"/>
      <c r="AB12" s="175"/>
      <c r="AC12" s="175"/>
      <c r="AD12" s="175"/>
      <c r="AE12" s="175"/>
      <c r="AF12" s="175"/>
      <c r="AG12" s="175"/>
      <c r="AH12" s="175"/>
      <c r="AI12" s="175"/>
      <c r="AJ12" s="175"/>
      <c r="AK12" s="175"/>
      <c r="AL12" s="175"/>
      <c r="AM12" s="175"/>
      <c r="AN12" s="175"/>
      <c r="AO12" s="175"/>
      <c r="AP12" s="175"/>
      <c r="AQ12" s="175"/>
      <c r="AS12" s="108"/>
      <c r="AT12" s="175"/>
      <c r="AU12" s="175"/>
      <c r="AV12" s="175"/>
      <c r="AW12" s="175"/>
      <c r="AX12" s="175"/>
      <c r="AY12" s="175"/>
      <c r="AZ12" s="175"/>
      <c r="BA12" s="175"/>
      <c r="BB12" s="175"/>
      <c r="BC12" s="175"/>
      <c r="BD12" s="175"/>
      <c r="BE12" s="175"/>
      <c r="BF12" s="175"/>
      <c r="BG12" s="175"/>
      <c r="BH12" s="175"/>
      <c r="BI12" s="175"/>
      <c r="BJ12" s="175"/>
      <c r="BK12" s="175"/>
      <c r="BL12" s="175"/>
      <c r="BM12" s="175"/>
    </row>
    <row r="13" spans="1:82" ht="15" customHeight="1" x14ac:dyDescent="0.25">
      <c r="A13" s="108" t="s">
        <v>136</v>
      </c>
      <c r="B13" s="175"/>
      <c r="C13" s="193">
        <v>1100</v>
      </c>
      <c r="D13" s="273">
        <v>-0.64</v>
      </c>
      <c r="E13" s="273">
        <v>-0.71</v>
      </c>
      <c r="F13" s="273">
        <v>-0.57999999999999996</v>
      </c>
      <c r="G13" s="193"/>
      <c r="H13" s="193">
        <v>250</v>
      </c>
      <c r="I13" s="273">
        <v>-0.52</v>
      </c>
      <c r="J13" s="273">
        <v>-0.65</v>
      </c>
      <c r="K13" s="273">
        <v>-0.39</v>
      </c>
      <c r="L13" s="193"/>
      <c r="M13" s="193">
        <v>120</v>
      </c>
      <c r="N13" s="273">
        <v>-0.63</v>
      </c>
      <c r="O13" s="273">
        <v>-0.82</v>
      </c>
      <c r="P13" s="273">
        <v>-0.44</v>
      </c>
      <c r="Q13" s="193"/>
      <c r="R13" s="193">
        <v>1460</v>
      </c>
      <c r="S13" s="273">
        <v>-0.62</v>
      </c>
      <c r="T13" s="273">
        <v>-0.68</v>
      </c>
      <c r="U13" s="273">
        <v>-0.56999999999999995</v>
      </c>
      <c r="W13" s="108" t="s">
        <v>136</v>
      </c>
      <c r="X13" s="175"/>
      <c r="Y13" s="193">
        <v>550</v>
      </c>
      <c r="Z13" s="273">
        <v>-0.75</v>
      </c>
      <c r="AA13" s="273">
        <v>-0.84</v>
      </c>
      <c r="AB13" s="273">
        <v>-0.67</v>
      </c>
      <c r="AC13" s="193"/>
      <c r="AD13" s="193">
        <v>120</v>
      </c>
      <c r="AE13" s="273">
        <v>-0.79</v>
      </c>
      <c r="AF13" s="273">
        <v>-0.98</v>
      </c>
      <c r="AG13" s="273">
        <v>-0.6</v>
      </c>
      <c r="AH13" s="193"/>
      <c r="AI13" s="193">
        <v>50</v>
      </c>
      <c r="AJ13" s="273">
        <v>-0.77</v>
      </c>
      <c r="AK13" s="273">
        <v>-1.05</v>
      </c>
      <c r="AL13" s="273">
        <v>-0.48</v>
      </c>
      <c r="AM13" s="193"/>
      <c r="AN13" s="193">
        <v>730</v>
      </c>
      <c r="AO13" s="273">
        <v>-0.76</v>
      </c>
      <c r="AP13" s="273">
        <v>-0.84</v>
      </c>
      <c r="AQ13" s="273">
        <v>-0.68</v>
      </c>
      <c r="AS13" s="108" t="s">
        <v>136</v>
      </c>
      <c r="AT13" s="175"/>
      <c r="AU13" s="193">
        <v>540</v>
      </c>
      <c r="AV13" s="273">
        <v>-0.53</v>
      </c>
      <c r="AW13" s="273">
        <v>-0.62</v>
      </c>
      <c r="AX13" s="273">
        <v>-0.44</v>
      </c>
      <c r="AY13" s="193"/>
      <c r="AZ13" s="193">
        <v>130</v>
      </c>
      <c r="BA13" s="273">
        <v>-0.27</v>
      </c>
      <c r="BB13" s="273">
        <v>-0.46</v>
      </c>
      <c r="BC13" s="273">
        <v>-0.09</v>
      </c>
      <c r="BD13" s="193"/>
      <c r="BE13" s="193">
        <v>60</v>
      </c>
      <c r="BF13" s="273">
        <v>-0.52</v>
      </c>
      <c r="BG13" s="273">
        <v>-0.78</v>
      </c>
      <c r="BH13" s="273">
        <v>-0.26</v>
      </c>
      <c r="BI13" s="193"/>
      <c r="BJ13" s="193">
        <v>730</v>
      </c>
      <c r="BK13" s="273">
        <v>-0.48</v>
      </c>
      <c r="BL13" s="273">
        <v>-0.56000000000000005</v>
      </c>
      <c r="BM13" s="273">
        <v>-0.41</v>
      </c>
    </row>
    <row r="14" spans="1:82" ht="15" customHeight="1" x14ac:dyDescent="0.25">
      <c r="A14" s="110"/>
      <c r="B14" s="175"/>
      <c r="C14" s="193"/>
      <c r="D14" s="193"/>
      <c r="E14" s="193"/>
      <c r="F14" s="193"/>
      <c r="G14" s="193"/>
      <c r="H14" s="193"/>
      <c r="I14" s="193"/>
      <c r="J14" s="193"/>
      <c r="K14" s="193"/>
      <c r="L14" s="193"/>
      <c r="M14" s="193"/>
      <c r="N14" s="193"/>
      <c r="O14" s="193"/>
      <c r="P14" s="193"/>
      <c r="Q14" s="193"/>
      <c r="R14" s="193"/>
      <c r="S14" s="193"/>
      <c r="T14" s="193"/>
      <c r="U14" s="193"/>
      <c r="W14" s="110"/>
      <c r="X14" s="175"/>
      <c r="Y14" s="193"/>
      <c r="Z14" s="193"/>
      <c r="AA14" s="193"/>
      <c r="AB14" s="193"/>
      <c r="AC14" s="193"/>
      <c r="AD14" s="193"/>
      <c r="AE14" s="193"/>
      <c r="AF14" s="193"/>
      <c r="AG14" s="193"/>
      <c r="AH14" s="193"/>
      <c r="AI14" s="193"/>
      <c r="AJ14" s="193"/>
      <c r="AK14" s="193"/>
      <c r="AL14" s="193"/>
      <c r="AM14" s="193"/>
      <c r="AN14" s="193"/>
      <c r="AO14" s="193"/>
      <c r="AP14" s="193"/>
      <c r="AQ14" s="193"/>
      <c r="AS14" s="110"/>
      <c r="AT14" s="175"/>
      <c r="AU14" s="193"/>
      <c r="AV14" s="193"/>
      <c r="AW14" s="193"/>
      <c r="AX14" s="193"/>
      <c r="AY14" s="193"/>
      <c r="AZ14" s="193"/>
      <c r="BA14" s="193"/>
      <c r="BB14" s="193"/>
      <c r="BC14" s="193"/>
      <c r="BD14" s="193"/>
      <c r="BE14" s="193"/>
      <c r="BF14" s="193"/>
      <c r="BG14" s="193"/>
      <c r="BH14" s="193"/>
      <c r="BI14" s="193"/>
      <c r="BJ14" s="193"/>
      <c r="BK14" s="193"/>
      <c r="BL14" s="193"/>
      <c r="BM14" s="193"/>
    </row>
    <row r="15" spans="1:82" ht="15" customHeight="1" x14ac:dyDescent="0.25">
      <c r="A15" s="223" t="s">
        <v>45</v>
      </c>
      <c r="B15" s="175"/>
      <c r="C15" s="193">
        <v>550</v>
      </c>
      <c r="D15" s="273">
        <v>-0.27</v>
      </c>
      <c r="E15" s="273">
        <v>-0.36</v>
      </c>
      <c r="F15" s="273">
        <v>-0.18</v>
      </c>
      <c r="G15" s="193"/>
      <c r="H15" s="193">
        <v>150</v>
      </c>
      <c r="I15" s="273">
        <v>-0.26</v>
      </c>
      <c r="J15" s="273">
        <v>-0.43</v>
      </c>
      <c r="K15" s="273">
        <v>-0.09</v>
      </c>
      <c r="L15" s="193"/>
      <c r="M15" s="193">
        <v>70</v>
      </c>
      <c r="N15" s="273">
        <v>-0.38</v>
      </c>
      <c r="O15" s="273">
        <v>-0.64</v>
      </c>
      <c r="P15" s="273">
        <v>-0.13</v>
      </c>
      <c r="Q15" s="193"/>
      <c r="R15" s="193">
        <v>760</v>
      </c>
      <c r="S15" s="273">
        <v>-0.28000000000000003</v>
      </c>
      <c r="T15" s="273">
        <v>-0.35</v>
      </c>
      <c r="U15" s="273">
        <v>-0.2</v>
      </c>
      <c r="W15" s="223" t="s">
        <v>45</v>
      </c>
      <c r="X15" s="175"/>
      <c r="Y15" s="193">
        <v>240</v>
      </c>
      <c r="Z15" s="273">
        <v>-0.33</v>
      </c>
      <c r="AA15" s="273">
        <v>-0.47</v>
      </c>
      <c r="AB15" s="273">
        <v>-0.2</v>
      </c>
      <c r="AC15" s="193"/>
      <c r="AD15" s="193">
        <v>60</v>
      </c>
      <c r="AE15" s="273">
        <v>-0.52</v>
      </c>
      <c r="AF15" s="273">
        <v>-0.78</v>
      </c>
      <c r="AG15" s="273">
        <v>-0.26</v>
      </c>
      <c r="AH15" s="193"/>
      <c r="AI15" s="193">
        <v>20</v>
      </c>
      <c r="AJ15" s="273">
        <v>-0.42</v>
      </c>
      <c r="AK15" s="273">
        <v>-0.86</v>
      </c>
      <c r="AL15" s="273">
        <v>0.02</v>
      </c>
      <c r="AM15" s="193"/>
      <c r="AN15" s="193">
        <v>320</v>
      </c>
      <c r="AO15" s="273">
        <v>-0.38</v>
      </c>
      <c r="AP15" s="273">
        <v>-0.49</v>
      </c>
      <c r="AQ15" s="273">
        <v>-0.26</v>
      </c>
      <c r="AS15" s="223" t="s">
        <v>45</v>
      </c>
      <c r="AT15" s="175"/>
      <c r="AU15" s="193">
        <v>310</v>
      </c>
      <c r="AV15" s="273">
        <v>-0.23</v>
      </c>
      <c r="AW15" s="273">
        <v>-0.34</v>
      </c>
      <c r="AX15" s="273">
        <v>-0.11</v>
      </c>
      <c r="AY15" s="193"/>
      <c r="AZ15" s="193">
        <v>90</v>
      </c>
      <c r="BA15" s="273">
        <v>-7.0000000000000007E-2</v>
      </c>
      <c r="BB15" s="273">
        <v>-0.28999999999999998</v>
      </c>
      <c r="BC15" s="273">
        <v>0.16</v>
      </c>
      <c r="BD15" s="193"/>
      <c r="BE15" s="193">
        <v>40</v>
      </c>
      <c r="BF15" s="273">
        <v>-0.37</v>
      </c>
      <c r="BG15" s="273">
        <v>-0.68</v>
      </c>
      <c r="BH15" s="273">
        <v>-0.05</v>
      </c>
      <c r="BI15" s="193"/>
      <c r="BJ15" s="193">
        <v>440</v>
      </c>
      <c r="BK15" s="273">
        <v>-0.21</v>
      </c>
      <c r="BL15" s="273">
        <v>-0.31</v>
      </c>
      <c r="BM15" s="273">
        <v>-0.11</v>
      </c>
    </row>
    <row r="16" spans="1:82" ht="15" customHeight="1" x14ac:dyDescent="0.25">
      <c r="A16" s="223"/>
      <c r="B16" s="175"/>
      <c r="C16" s="195"/>
      <c r="D16" s="195"/>
      <c r="E16" s="195"/>
      <c r="F16" s="172"/>
      <c r="G16" s="172"/>
      <c r="H16" s="195"/>
      <c r="I16" s="195"/>
      <c r="J16" s="195"/>
      <c r="K16" s="172"/>
      <c r="L16" s="172"/>
      <c r="M16" s="195"/>
      <c r="N16" s="195"/>
      <c r="O16" s="195"/>
      <c r="P16" s="172"/>
      <c r="Q16" s="172"/>
      <c r="R16" s="195"/>
      <c r="S16" s="195"/>
      <c r="T16" s="195"/>
      <c r="U16" s="172"/>
      <c r="W16" s="223"/>
      <c r="X16" s="175"/>
      <c r="Y16" s="195"/>
      <c r="Z16" s="195"/>
      <c r="AA16" s="195"/>
      <c r="AB16" s="172"/>
      <c r="AC16" s="172"/>
      <c r="AD16" s="195"/>
      <c r="AE16" s="195"/>
      <c r="AF16" s="195"/>
      <c r="AG16" s="172"/>
      <c r="AH16" s="172"/>
      <c r="AI16" s="195"/>
      <c r="AJ16" s="195"/>
      <c r="AK16" s="195"/>
      <c r="AL16" s="172"/>
      <c r="AM16" s="172"/>
      <c r="AN16" s="195"/>
      <c r="AO16" s="195"/>
      <c r="AP16" s="195"/>
      <c r="AQ16" s="172"/>
      <c r="AS16" s="223"/>
      <c r="AT16" s="175"/>
      <c r="AU16" s="195"/>
      <c r="AV16" s="195"/>
      <c r="AW16" s="195"/>
      <c r="AX16" s="172"/>
      <c r="AY16" s="172"/>
      <c r="AZ16" s="195"/>
      <c r="BA16" s="195"/>
      <c r="BB16" s="195"/>
      <c r="BC16" s="172"/>
      <c r="BD16" s="172"/>
      <c r="BE16" s="195"/>
      <c r="BF16" s="195"/>
      <c r="BG16" s="195"/>
      <c r="BH16" s="172"/>
      <c r="BI16" s="172"/>
      <c r="BJ16" s="195"/>
      <c r="BK16" s="195"/>
      <c r="BL16" s="195"/>
      <c r="BM16" s="172"/>
    </row>
    <row r="17" spans="1:65" ht="15" customHeight="1" x14ac:dyDescent="0.25">
      <c r="A17" s="223" t="s">
        <v>75</v>
      </c>
      <c r="B17" s="175"/>
      <c r="C17" s="193">
        <v>550</v>
      </c>
      <c r="D17" s="273">
        <v>-1.02</v>
      </c>
      <c r="E17" s="273">
        <v>-1.1000000000000001</v>
      </c>
      <c r="F17" s="273">
        <v>-0.93</v>
      </c>
      <c r="G17" s="193"/>
      <c r="H17" s="193">
        <v>100</v>
      </c>
      <c r="I17" s="273">
        <v>-0.92</v>
      </c>
      <c r="J17" s="273">
        <v>-1.1200000000000001</v>
      </c>
      <c r="K17" s="273">
        <v>-0.71</v>
      </c>
      <c r="L17" s="193"/>
      <c r="M17" s="193">
        <v>50</v>
      </c>
      <c r="N17" s="273">
        <v>-0.96</v>
      </c>
      <c r="O17" s="273">
        <v>-1.25</v>
      </c>
      <c r="P17" s="273">
        <v>-0.66</v>
      </c>
      <c r="Q17" s="193"/>
      <c r="R17" s="193">
        <v>700</v>
      </c>
      <c r="S17" s="273">
        <v>-1</v>
      </c>
      <c r="T17" s="273">
        <v>-1.08</v>
      </c>
      <c r="U17" s="273">
        <v>-0.92</v>
      </c>
      <c r="W17" s="223" t="s">
        <v>75</v>
      </c>
      <c r="X17" s="175"/>
      <c r="Y17" s="193">
        <v>320</v>
      </c>
      <c r="Z17" s="273">
        <v>-1.07</v>
      </c>
      <c r="AA17" s="273">
        <v>-1.19</v>
      </c>
      <c r="AB17" s="273">
        <v>-0.95</v>
      </c>
      <c r="AC17" s="193"/>
      <c r="AD17" s="193">
        <v>60</v>
      </c>
      <c r="AE17" s="273">
        <v>-1.1000000000000001</v>
      </c>
      <c r="AF17" s="273">
        <v>-1.38</v>
      </c>
      <c r="AG17" s="273">
        <v>-0.82</v>
      </c>
      <c r="AH17" s="193"/>
      <c r="AI17" s="193">
        <v>30</v>
      </c>
      <c r="AJ17" s="273">
        <v>-1.01</v>
      </c>
      <c r="AK17" s="273">
        <v>-1.39</v>
      </c>
      <c r="AL17" s="273">
        <v>-0.64</v>
      </c>
      <c r="AM17" s="193"/>
      <c r="AN17" s="193">
        <v>400</v>
      </c>
      <c r="AO17" s="273">
        <v>-1.07</v>
      </c>
      <c r="AP17" s="273">
        <v>-1.17</v>
      </c>
      <c r="AQ17" s="273">
        <v>-0.97</v>
      </c>
      <c r="AS17" s="223" t="s">
        <v>75</v>
      </c>
      <c r="AT17" s="175"/>
      <c r="AU17" s="193">
        <v>230</v>
      </c>
      <c r="AV17" s="273">
        <v>-0.94</v>
      </c>
      <c r="AW17" s="273">
        <v>-1.08</v>
      </c>
      <c r="AX17" s="273">
        <v>-0.81</v>
      </c>
      <c r="AY17" s="193"/>
      <c r="AZ17" s="193">
        <v>40</v>
      </c>
      <c r="BA17" s="273">
        <v>-0.68</v>
      </c>
      <c r="BB17" s="273">
        <v>-1</v>
      </c>
      <c r="BC17" s="273">
        <v>-0.37</v>
      </c>
      <c r="BD17" s="193"/>
      <c r="BE17" s="193">
        <v>20</v>
      </c>
      <c r="BF17" s="273">
        <v>-0.87</v>
      </c>
      <c r="BG17" s="273">
        <v>-1.34</v>
      </c>
      <c r="BH17" s="273">
        <v>-0.39</v>
      </c>
      <c r="BI17" s="193"/>
      <c r="BJ17" s="193">
        <v>290</v>
      </c>
      <c r="BK17" s="273">
        <v>-0.9</v>
      </c>
      <c r="BL17" s="273">
        <v>-1.02</v>
      </c>
      <c r="BM17" s="273">
        <v>-0.78</v>
      </c>
    </row>
    <row r="18" spans="1:65" ht="15" customHeight="1" x14ac:dyDescent="0.25">
      <c r="A18" s="223"/>
      <c r="B18" s="223" t="s">
        <v>137</v>
      </c>
      <c r="C18" s="193">
        <v>250</v>
      </c>
      <c r="D18" s="273">
        <v>-1.19</v>
      </c>
      <c r="E18" s="273">
        <v>-1.32</v>
      </c>
      <c r="F18" s="273">
        <v>-1.05</v>
      </c>
      <c r="G18" s="193"/>
      <c r="H18" s="193">
        <v>40</v>
      </c>
      <c r="I18" s="273">
        <v>-1.22</v>
      </c>
      <c r="J18" s="273">
        <v>-1.54</v>
      </c>
      <c r="K18" s="273">
        <v>-0.91</v>
      </c>
      <c r="L18" s="193"/>
      <c r="M18" s="193">
        <v>20</v>
      </c>
      <c r="N18" s="273">
        <v>-1.58</v>
      </c>
      <c r="O18" s="273">
        <v>-2</v>
      </c>
      <c r="P18" s="273">
        <v>-1.1499999999999999</v>
      </c>
      <c r="Q18" s="193"/>
      <c r="R18" s="193">
        <v>320</v>
      </c>
      <c r="S18" s="273">
        <v>-1.22</v>
      </c>
      <c r="T18" s="273">
        <v>-1.34</v>
      </c>
      <c r="U18" s="273">
        <v>-1.1000000000000001</v>
      </c>
      <c r="W18" s="223"/>
      <c r="X18" s="223" t="s">
        <v>137</v>
      </c>
      <c r="Y18" s="193">
        <v>150</v>
      </c>
      <c r="Z18" s="273">
        <v>-1.26</v>
      </c>
      <c r="AA18" s="273">
        <v>-1.43</v>
      </c>
      <c r="AB18" s="273">
        <v>-1.0900000000000001</v>
      </c>
      <c r="AC18" s="193"/>
      <c r="AD18" s="193">
        <v>30</v>
      </c>
      <c r="AE18" s="273">
        <v>-1.39</v>
      </c>
      <c r="AF18" s="273">
        <v>-1.76</v>
      </c>
      <c r="AG18" s="273">
        <v>-1.02</v>
      </c>
      <c r="AH18" s="193"/>
      <c r="AI18" s="193">
        <v>20</v>
      </c>
      <c r="AJ18" s="273">
        <v>-1.56</v>
      </c>
      <c r="AK18" s="273">
        <v>-2.0699999999999998</v>
      </c>
      <c r="AL18" s="273">
        <v>-1.06</v>
      </c>
      <c r="AM18" s="193"/>
      <c r="AN18" s="193">
        <v>200</v>
      </c>
      <c r="AO18" s="273">
        <v>-1.31</v>
      </c>
      <c r="AP18" s="273">
        <v>-1.46</v>
      </c>
      <c r="AQ18" s="273">
        <v>-1.1599999999999999</v>
      </c>
      <c r="AS18" s="223"/>
      <c r="AT18" s="223" t="s">
        <v>137</v>
      </c>
      <c r="AU18" s="193">
        <v>100</v>
      </c>
      <c r="AV18" s="273">
        <v>-1.08</v>
      </c>
      <c r="AW18" s="273">
        <v>-1.28</v>
      </c>
      <c r="AX18" s="273">
        <v>-0.87</v>
      </c>
      <c r="AY18" s="193"/>
      <c r="AZ18" s="193">
        <v>10</v>
      </c>
      <c r="BA18" s="273">
        <v>-0.77</v>
      </c>
      <c r="BB18" s="273">
        <v>-1.37</v>
      </c>
      <c r="BC18" s="273">
        <v>-0.17</v>
      </c>
      <c r="BD18" s="193"/>
      <c r="BE18" s="193">
        <v>10</v>
      </c>
      <c r="BF18" s="273">
        <v>-1.61</v>
      </c>
      <c r="BG18" s="273">
        <v>-2.4</v>
      </c>
      <c r="BH18" s="273">
        <v>-0.83</v>
      </c>
      <c r="BI18" s="193"/>
      <c r="BJ18" s="193">
        <v>120</v>
      </c>
      <c r="BK18" s="273">
        <v>-1.08</v>
      </c>
      <c r="BL18" s="273">
        <v>-1.27</v>
      </c>
      <c r="BM18" s="273">
        <v>-0.89</v>
      </c>
    </row>
    <row r="19" spans="1:65" ht="15" customHeight="1" x14ac:dyDescent="0.25">
      <c r="A19" s="223"/>
      <c r="B19" s="223" t="s">
        <v>138</v>
      </c>
      <c r="C19" s="193">
        <v>300</v>
      </c>
      <c r="D19" s="273">
        <v>-0.87</v>
      </c>
      <c r="E19" s="273">
        <v>-0.99</v>
      </c>
      <c r="F19" s="273">
        <v>-0.75</v>
      </c>
      <c r="G19" s="193"/>
      <c r="H19" s="193">
        <v>60</v>
      </c>
      <c r="I19" s="273">
        <v>-0.67</v>
      </c>
      <c r="J19" s="273">
        <v>-0.95</v>
      </c>
      <c r="K19" s="273">
        <v>-0.39</v>
      </c>
      <c r="L19" s="193"/>
      <c r="M19" s="193">
        <v>30</v>
      </c>
      <c r="N19" s="273">
        <v>-0.39</v>
      </c>
      <c r="O19" s="273">
        <v>-0.79</v>
      </c>
      <c r="P19" s="273">
        <v>0.02</v>
      </c>
      <c r="Q19" s="193"/>
      <c r="R19" s="193">
        <v>380</v>
      </c>
      <c r="S19" s="273">
        <v>-0.81</v>
      </c>
      <c r="T19" s="273">
        <v>-0.92</v>
      </c>
      <c r="U19" s="273">
        <v>-0.7</v>
      </c>
      <c r="W19" s="223"/>
      <c r="X19" s="223" t="s">
        <v>138</v>
      </c>
      <c r="Y19" s="193">
        <v>170</v>
      </c>
      <c r="Z19" s="273">
        <v>-0.9</v>
      </c>
      <c r="AA19" s="273">
        <v>-1.06</v>
      </c>
      <c r="AB19" s="273">
        <v>-0.74</v>
      </c>
      <c r="AC19" s="193"/>
      <c r="AD19" s="193">
        <v>20</v>
      </c>
      <c r="AE19" s="273">
        <v>-0.7</v>
      </c>
      <c r="AF19" s="273">
        <v>-1.1299999999999999</v>
      </c>
      <c r="AG19" s="273">
        <v>-0.26</v>
      </c>
      <c r="AH19" s="193"/>
      <c r="AI19" s="193">
        <v>10</v>
      </c>
      <c r="AJ19" s="273">
        <v>-0.35</v>
      </c>
      <c r="AK19" s="273">
        <v>-0.9</v>
      </c>
      <c r="AL19" s="273">
        <v>0.21</v>
      </c>
      <c r="AM19" s="193"/>
      <c r="AN19" s="193">
        <v>210</v>
      </c>
      <c r="AO19" s="273">
        <v>-0.84</v>
      </c>
      <c r="AP19" s="273">
        <v>-0.98</v>
      </c>
      <c r="AQ19" s="273">
        <v>-0.7</v>
      </c>
      <c r="AS19" s="223"/>
      <c r="AT19" s="223" t="s">
        <v>138</v>
      </c>
      <c r="AU19" s="193">
        <v>130</v>
      </c>
      <c r="AV19" s="273">
        <v>-0.84</v>
      </c>
      <c r="AW19" s="273">
        <v>-1.02</v>
      </c>
      <c r="AX19" s="273">
        <v>-0.65</v>
      </c>
      <c r="AY19" s="193"/>
      <c r="AZ19" s="193">
        <v>30</v>
      </c>
      <c r="BA19" s="273">
        <v>-0.65</v>
      </c>
      <c r="BB19" s="273">
        <v>-1.02</v>
      </c>
      <c r="BC19" s="273">
        <v>-0.28000000000000003</v>
      </c>
      <c r="BD19" s="193"/>
      <c r="BE19" s="193">
        <v>10</v>
      </c>
      <c r="BF19" s="273">
        <v>-0.43</v>
      </c>
      <c r="BG19" s="273">
        <v>-1.03</v>
      </c>
      <c r="BH19" s="273">
        <v>0.17</v>
      </c>
      <c r="BI19" s="193"/>
      <c r="BJ19" s="193">
        <v>170</v>
      </c>
      <c r="BK19" s="273">
        <v>-0.77</v>
      </c>
      <c r="BL19" s="273">
        <v>-0.93</v>
      </c>
      <c r="BM19" s="273">
        <v>-0.62</v>
      </c>
    </row>
    <row r="20" spans="1:65" ht="15" customHeight="1" x14ac:dyDescent="0.25">
      <c r="A20" s="224"/>
      <c r="B20" s="224"/>
      <c r="C20" s="225"/>
      <c r="D20" s="225"/>
      <c r="E20" s="225"/>
      <c r="F20" s="225"/>
      <c r="G20" s="225"/>
      <c r="H20" s="225"/>
      <c r="I20" s="225"/>
      <c r="J20" s="225"/>
      <c r="K20" s="225"/>
      <c r="L20" s="225"/>
      <c r="M20" s="225"/>
      <c r="N20" s="225"/>
      <c r="O20" s="225"/>
      <c r="P20" s="225"/>
      <c r="Q20" s="225"/>
      <c r="R20" s="225"/>
      <c r="S20" s="225"/>
      <c r="T20" s="225"/>
      <c r="U20" s="225"/>
      <c r="W20" s="224"/>
      <c r="X20" s="224"/>
      <c r="Y20" s="225"/>
      <c r="Z20" s="225"/>
      <c r="AA20" s="225"/>
      <c r="AB20" s="225"/>
      <c r="AC20" s="225"/>
      <c r="AD20" s="225"/>
      <c r="AE20" s="225"/>
      <c r="AF20" s="225"/>
      <c r="AG20" s="225"/>
      <c r="AH20" s="225"/>
      <c r="AI20" s="225"/>
      <c r="AJ20" s="225"/>
      <c r="AK20" s="225"/>
      <c r="AL20" s="225"/>
      <c r="AM20" s="225"/>
      <c r="AN20" s="225"/>
      <c r="AO20" s="225"/>
      <c r="AP20" s="225"/>
      <c r="AQ20" s="225"/>
      <c r="AS20" s="224"/>
      <c r="AT20" s="224"/>
      <c r="AU20" s="225"/>
      <c r="AV20" s="225"/>
      <c r="AW20" s="225"/>
      <c r="AX20" s="225"/>
      <c r="AY20" s="225"/>
      <c r="AZ20" s="225"/>
      <c r="BA20" s="225"/>
      <c r="BB20" s="225"/>
      <c r="BC20" s="225"/>
      <c r="BD20" s="225"/>
      <c r="BE20" s="225"/>
      <c r="BF20" s="225"/>
      <c r="BG20" s="225"/>
      <c r="BH20" s="225"/>
      <c r="BI20" s="225"/>
      <c r="BJ20" s="225"/>
      <c r="BK20" s="225"/>
      <c r="BL20" s="225"/>
      <c r="BM20" s="225"/>
    </row>
    <row r="21" spans="1:65" ht="15" customHeight="1" x14ac:dyDescent="0.25">
      <c r="A21" s="112"/>
      <c r="B21" s="198"/>
      <c r="C21" s="198"/>
      <c r="D21" s="198"/>
      <c r="E21" s="198"/>
      <c r="F21" s="198"/>
      <c r="G21" s="198"/>
      <c r="P21" s="174"/>
      <c r="U21" s="174" t="s">
        <v>120</v>
      </c>
      <c r="W21" s="112"/>
      <c r="X21" s="198"/>
      <c r="Y21" s="198"/>
      <c r="Z21" s="198"/>
      <c r="AA21" s="198"/>
      <c r="AB21" s="198"/>
      <c r="AC21" s="198"/>
      <c r="AL21" s="174"/>
      <c r="AQ21" s="174" t="s">
        <v>120</v>
      </c>
      <c r="AS21" s="112"/>
      <c r="AT21" s="198"/>
      <c r="AU21" s="198"/>
      <c r="AV21" s="198"/>
      <c r="AW21" s="198"/>
      <c r="AX21" s="198"/>
      <c r="AY21" s="198"/>
      <c r="BH21" s="174"/>
      <c r="BM21" s="174" t="s">
        <v>120</v>
      </c>
    </row>
    <row r="22" spans="1:65" ht="15" customHeight="1" x14ac:dyDescent="0.25">
      <c r="A22" s="192"/>
      <c r="B22" s="198"/>
      <c r="C22" s="198"/>
      <c r="D22" s="198"/>
      <c r="E22" s="198"/>
      <c r="F22" s="198"/>
      <c r="G22" s="198"/>
      <c r="W22" s="192"/>
      <c r="X22" s="198"/>
      <c r="Y22" s="198"/>
      <c r="Z22" s="198"/>
      <c r="AA22" s="198"/>
      <c r="AB22" s="198"/>
      <c r="AC22" s="198"/>
      <c r="AS22" s="192"/>
      <c r="AT22" s="198"/>
      <c r="AU22" s="198"/>
      <c r="AV22" s="198"/>
      <c r="AW22" s="198"/>
      <c r="AX22" s="198"/>
      <c r="AY22" s="198"/>
    </row>
    <row r="23" spans="1:65" ht="15" customHeight="1" x14ac:dyDescent="0.25"/>
    <row r="24" spans="1:65" ht="15" customHeight="1" x14ac:dyDescent="0.25"/>
    <row r="25" spans="1:65" ht="15" customHeight="1" x14ac:dyDescent="0.25">
      <c r="A25" s="202"/>
      <c r="B25" s="198"/>
      <c r="C25" s="211">
        <v>1</v>
      </c>
      <c r="D25" s="211">
        <f>C25+1</f>
        <v>2</v>
      </c>
      <c r="E25" s="211">
        <f t="shared" ref="E25:BM25" si="0">D25+1</f>
        <v>3</v>
      </c>
      <c r="F25" s="211">
        <f t="shared" si="0"/>
        <v>4</v>
      </c>
      <c r="G25" s="211">
        <f t="shared" si="0"/>
        <v>5</v>
      </c>
      <c r="H25" s="211">
        <f t="shared" si="0"/>
        <v>6</v>
      </c>
      <c r="I25" s="211">
        <f t="shared" si="0"/>
        <v>7</v>
      </c>
      <c r="J25" s="211">
        <f t="shared" si="0"/>
        <v>8</v>
      </c>
      <c r="K25" s="211">
        <f t="shared" si="0"/>
        <v>9</v>
      </c>
      <c r="L25" s="211">
        <f t="shared" si="0"/>
        <v>10</v>
      </c>
      <c r="M25" s="211">
        <f t="shared" si="0"/>
        <v>11</v>
      </c>
      <c r="N25" s="211">
        <f t="shared" si="0"/>
        <v>12</v>
      </c>
      <c r="O25" s="211">
        <f t="shared" si="0"/>
        <v>13</v>
      </c>
      <c r="P25" s="211">
        <f t="shared" si="0"/>
        <v>14</v>
      </c>
      <c r="Q25" s="211">
        <f t="shared" si="0"/>
        <v>15</v>
      </c>
      <c r="R25" s="211">
        <f t="shared" si="0"/>
        <v>16</v>
      </c>
      <c r="S25" s="211">
        <f t="shared" si="0"/>
        <v>17</v>
      </c>
      <c r="T25" s="211">
        <f t="shared" si="0"/>
        <v>18</v>
      </c>
      <c r="U25" s="211">
        <f t="shared" si="0"/>
        <v>19</v>
      </c>
      <c r="V25" s="211">
        <f t="shared" si="0"/>
        <v>20</v>
      </c>
      <c r="W25" s="211">
        <f t="shared" si="0"/>
        <v>21</v>
      </c>
      <c r="X25" s="211">
        <f t="shared" si="0"/>
        <v>22</v>
      </c>
      <c r="Y25" s="211">
        <f t="shared" si="0"/>
        <v>23</v>
      </c>
      <c r="Z25" s="211">
        <f t="shared" si="0"/>
        <v>24</v>
      </c>
      <c r="AA25" s="211">
        <f t="shared" si="0"/>
        <v>25</v>
      </c>
      <c r="AB25" s="211">
        <f t="shared" si="0"/>
        <v>26</v>
      </c>
      <c r="AC25" s="211">
        <f t="shared" si="0"/>
        <v>27</v>
      </c>
      <c r="AD25" s="211">
        <f t="shared" si="0"/>
        <v>28</v>
      </c>
      <c r="AE25" s="211">
        <f t="shared" si="0"/>
        <v>29</v>
      </c>
      <c r="AF25" s="211">
        <f t="shared" si="0"/>
        <v>30</v>
      </c>
      <c r="AG25" s="211">
        <f t="shared" si="0"/>
        <v>31</v>
      </c>
      <c r="AH25" s="211">
        <f t="shared" si="0"/>
        <v>32</v>
      </c>
      <c r="AI25" s="211">
        <f t="shared" si="0"/>
        <v>33</v>
      </c>
      <c r="AJ25" s="211">
        <f t="shared" si="0"/>
        <v>34</v>
      </c>
      <c r="AK25" s="211">
        <f t="shared" si="0"/>
        <v>35</v>
      </c>
      <c r="AL25" s="211">
        <f t="shared" si="0"/>
        <v>36</v>
      </c>
      <c r="AM25" s="211">
        <f t="shared" si="0"/>
        <v>37</v>
      </c>
      <c r="AN25" s="211">
        <f t="shared" si="0"/>
        <v>38</v>
      </c>
      <c r="AO25" s="211">
        <f t="shared" si="0"/>
        <v>39</v>
      </c>
      <c r="AP25" s="211">
        <f t="shared" si="0"/>
        <v>40</v>
      </c>
      <c r="AQ25" s="211">
        <f t="shared" si="0"/>
        <v>41</v>
      </c>
      <c r="AR25" s="211">
        <f t="shared" si="0"/>
        <v>42</v>
      </c>
      <c r="AS25" s="211">
        <f t="shared" si="0"/>
        <v>43</v>
      </c>
      <c r="AT25" s="211">
        <f t="shared" si="0"/>
        <v>44</v>
      </c>
      <c r="AU25" s="211">
        <f t="shared" si="0"/>
        <v>45</v>
      </c>
      <c r="AV25" s="211">
        <f t="shared" si="0"/>
        <v>46</v>
      </c>
      <c r="AW25" s="211">
        <f t="shared" si="0"/>
        <v>47</v>
      </c>
      <c r="AX25" s="211">
        <f t="shared" si="0"/>
        <v>48</v>
      </c>
      <c r="AY25" s="211">
        <f t="shared" si="0"/>
        <v>49</v>
      </c>
      <c r="AZ25" s="211">
        <f t="shared" si="0"/>
        <v>50</v>
      </c>
      <c r="BA25" s="211">
        <f t="shared" si="0"/>
        <v>51</v>
      </c>
      <c r="BB25" s="211">
        <f t="shared" si="0"/>
        <v>52</v>
      </c>
      <c r="BC25" s="211">
        <f t="shared" si="0"/>
        <v>53</v>
      </c>
      <c r="BD25" s="211">
        <f t="shared" si="0"/>
        <v>54</v>
      </c>
      <c r="BE25" s="211">
        <f t="shared" si="0"/>
        <v>55</v>
      </c>
      <c r="BF25" s="211">
        <f t="shared" si="0"/>
        <v>56</v>
      </c>
      <c r="BG25" s="211">
        <f t="shared" si="0"/>
        <v>57</v>
      </c>
      <c r="BH25" s="211">
        <f t="shared" si="0"/>
        <v>58</v>
      </c>
      <c r="BI25" s="211">
        <f t="shared" si="0"/>
        <v>59</v>
      </c>
      <c r="BJ25" s="211">
        <f t="shared" si="0"/>
        <v>60</v>
      </c>
      <c r="BK25" s="211">
        <f t="shared" si="0"/>
        <v>61</v>
      </c>
      <c r="BL25" s="211">
        <f t="shared" si="0"/>
        <v>62</v>
      </c>
      <c r="BM25" s="211">
        <f t="shared" si="0"/>
        <v>63</v>
      </c>
    </row>
    <row r="26" spans="1:65" ht="15" customHeight="1" x14ac:dyDescent="0.25">
      <c r="A26" s="202"/>
      <c r="B26" s="198"/>
      <c r="W26" s="202"/>
      <c r="X26" s="198"/>
      <c r="AS26" s="202"/>
      <c r="AT26" s="198"/>
    </row>
    <row r="27" spans="1:65" ht="15" customHeight="1" x14ac:dyDescent="0.25">
      <c r="A27" s="202"/>
      <c r="B27" s="198"/>
      <c r="W27" s="202"/>
      <c r="X27" s="198"/>
      <c r="AS27" s="202"/>
      <c r="AT27" s="198"/>
    </row>
    <row r="29" spans="1:65" x14ac:dyDescent="0.25">
      <c r="A29" s="268"/>
      <c r="B29" s="269"/>
      <c r="C29" s="270"/>
      <c r="D29" s="270"/>
      <c r="E29" s="270"/>
      <c r="F29" s="270"/>
      <c r="G29" s="270"/>
      <c r="H29" s="270"/>
      <c r="I29" s="270"/>
      <c r="J29" s="270"/>
      <c r="K29" s="270"/>
      <c r="L29" s="270"/>
      <c r="M29" s="270"/>
      <c r="N29" s="270"/>
      <c r="O29" s="270"/>
      <c r="P29" s="270"/>
      <c r="Q29" s="270"/>
      <c r="R29" s="270"/>
      <c r="S29" s="270"/>
      <c r="Y29" s="270"/>
      <c r="Z29" s="270"/>
      <c r="AA29" s="270"/>
      <c r="AB29" s="270"/>
      <c r="AC29" s="270"/>
      <c r="AD29" s="270"/>
      <c r="AE29" s="270"/>
      <c r="AF29" s="270"/>
      <c r="AG29" s="270"/>
      <c r="AH29" s="270"/>
      <c r="AI29" s="270"/>
      <c r="AJ29" s="270"/>
      <c r="AK29" s="270"/>
      <c r="AL29" s="270"/>
      <c r="AM29" s="270"/>
      <c r="AN29" s="270"/>
      <c r="AO29" s="270"/>
      <c r="AU29" s="270"/>
      <c r="AV29" s="270"/>
      <c r="AW29" s="270"/>
      <c r="AX29" s="270"/>
      <c r="AY29" s="270"/>
      <c r="AZ29" s="270"/>
      <c r="BA29" s="270"/>
      <c r="BB29" s="270"/>
      <c r="BC29" s="270"/>
      <c r="BD29" s="270"/>
      <c r="BE29" s="270"/>
      <c r="BF29" s="270"/>
      <c r="BG29" s="270"/>
      <c r="BH29" s="270"/>
      <c r="BI29" s="270"/>
      <c r="BJ29" s="270"/>
      <c r="BK29" s="270"/>
    </row>
    <row r="30" spans="1:65" x14ac:dyDescent="0.25">
      <c r="A30" s="211"/>
      <c r="B30" s="211"/>
      <c r="C30" s="211"/>
      <c r="D30" s="211"/>
      <c r="E30" s="211"/>
      <c r="F30" s="211"/>
      <c r="G30" s="211"/>
      <c r="H30" s="211"/>
      <c r="I30" s="211"/>
      <c r="J30" s="211"/>
      <c r="K30" s="211"/>
      <c r="L30" s="211"/>
      <c r="M30" s="211"/>
      <c r="N30" s="211"/>
      <c r="O30" s="211"/>
      <c r="P30" s="211"/>
      <c r="Q30" s="211"/>
      <c r="R30" s="211"/>
      <c r="S30" s="211"/>
      <c r="Y30" s="211"/>
      <c r="Z30" s="211"/>
      <c r="AA30" s="211"/>
      <c r="AB30" s="211"/>
      <c r="AC30" s="211"/>
      <c r="AD30" s="211"/>
      <c r="AE30" s="211"/>
      <c r="AF30" s="211"/>
      <c r="AG30" s="211"/>
      <c r="AH30" s="211"/>
      <c r="AI30" s="211"/>
      <c r="AJ30" s="211"/>
      <c r="AK30" s="211"/>
      <c r="AL30" s="211"/>
      <c r="AM30" s="211"/>
      <c r="AN30" s="211"/>
      <c r="AO30" s="211"/>
      <c r="AU30" s="211"/>
      <c r="AV30" s="211"/>
      <c r="AW30" s="211"/>
      <c r="AX30" s="211"/>
      <c r="AY30" s="211"/>
      <c r="AZ30" s="211"/>
      <c r="BA30" s="211"/>
      <c r="BB30" s="211"/>
      <c r="BC30" s="211"/>
      <c r="BD30" s="211"/>
      <c r="BE30" s="211"/>
      <c r="BF30" s="211"/>
      <c r="BG30" s="211"/>
      <c r="BH30" s="211"/>
      <c r="BI30" s="211"/>
      <c r="BJ30" s="211"/>
      <c r="BK30" s="211"/>
    </row>
    <row r="31" spans="1:65" x14ac:dyDescent="0.25">
      <c r="A31" s="268"/>
      <c r="B31" s="211"/>
      <c r="C31" s="211"/>
      <c r="D31" s="211"/>
      <c r="E31" s="211"/>
      <c r="F31" s="211"/>
      <c r="G31" s="211"/>
      <c r="H31" s="211"/>
      <c r="I31" s="211"/>
      <c r="J31" s="211"/>
      <c r="K31" s="211"/>
      <c r="L31" s="211"/>
      <c r="M31" s="211"/>
      <c r="N31" s="211"/>
      <c r="O31" s="211"/>
      <c r="P31" s="211"/>
      <c r="Q31" s="211"/>
      <c r="R31" s="211"/>
      <c r="S31" s="211"/>
      <c r="Y31" s="211"/>
      <c r="Z31" s="211"/>
      <c r="AA31" s="211"/>
      <c r="AB31" s="211"/>
      <c r="AC31" s="211"/>
      <c r="AD31" s="211"/>
      <c r="AE31" s="211"/>
      <c r="AF31" s="211"/>
      <c r="AG31" s="211"/>
      <c r="AH31" s="211"/>
      <c r="AI31" s="211"/>
      <c r="AJ31" s="211"/>
      <c r="AK31" s="211"/>
      <c r="AL31" s="211"/>
      <c r="AM31" s="211"/>
      <c r="AN31" s="211"/>
      <c r="AO31" s="211"/>
      <c r="AU31" s="211"/>
      <c r="AV31" s="211"/>
      <c r="AW31" s="211"/>
      <c r="AX31" s="211"/>
      <c r="AY31" s="211"/>
      <c r="AZ31" s="211"/>
      <c r="BA31" s="211"/>
      <c r="BB31" s="211"/>
      <c r="BC31" s="211"/>
      <c r="BD31" s="211"/>
      <c r="BE31" s="211"/>
      <c r="BF31" s="211"/>
      <c r="BG31" s="211"/>
      <c r="BH31" s="211"/>
      <c r="BI31" s="211"/>
      <c r="BJ31" s="211"/>
      <c r="BK31" s="211"/>
    </row>
    <row r="32" spans="1:65" x14ac:dyDescent="0.25">
      <c r="A32" s="211"/>
      <c r="B32" s="211"/>
      <c r="C32" s="211"/>
      <c r="D32" s="211"/>
      <c r="E32" s="211"/>
      <c r="F32" s="211"/>
      <c r="G32" s="211"/>
      <c r="H32" s="211"/>
      <c r="I32" s="211"/>
      <c r="J32" s="211"/>
      <c r="K32" s="211"/>
      <c r="L32" s="211"/>
      <c r="M32" s="211"/>
      <c r="N32" s="211"/>
      <c r="O32" s="211"/>
      <c r="P32" s="211"/>
      <c r="Q32" s="211"/>
      <c r="R32" s="211"/>
      <c r="S32" s="211"/>
      <c r="Y32" s="211"/>
      <c r="Z32" s="211"/>
      <c r="AA32" s="211"/>
      <c r="AB32" s="211"/>
      <c r="AC32" s="211"/>
      <c r="AD32" s="211"/>
      <c r="AE32" s="211"/>
      <c r="AF32" s="211"/>
      <c r="AG32" s="211"/>
      <c r="AH32" s="211"/>
      <c r="AI32" s="211"/>
      <c r="AJ32" s="211"/>
      <c r="AK32" s="211"/>
      <c r="AL32" s="211"/>
      <c r="AM32" s="211"/>
      <c r="AN32" s="211"/>
      <c r="AO32" s="211"/>
      <c r="AU32" s="211"/>
      <c r="AV32" s="211"/>
      <c r="AW32" s="211"/>
      <c r="AX32" s="211"/>
      <c r="AY32" s="211"/>
      <c r="AZ32" s="211"/>
      <c r="BA32" s="211"/>
      <c r="BB32" s="211"/>
      <c r="BC32" s="211"/>
      <c r="BD32" s="211"/>
      <c r="BE32" s="211"/>
      <c r="BF32" s="211"/>
      <c r="BG32" s="211"/>
      <c r="BH32" s="211"/>
      <c r="BI32" s="211"/>
      <c r="BJ32" s="211"/>
      <c r="BK32" s="211"/>
    </row>
    <row r="33" spans="1:63" x14ac:dyDescent="0.25">
      <c r="C33" s="211"/>
      <c r="D33" s="211"/>
      <c r="E33" s="211"/>
      <c r="F33" s="211"/>
      <c r="G33" s="211"/>
      <c r="H33" s="211"/>
      <c r="I33" s="211"/>
      <c r="J33" s="211"/>
      <c r="K33" s="211"/>
      <c r="L33" s="211"/>
      <c r="M33" s="211"/>
      <c r="N33" s="211"/>
      <c r="O33" s="211"/>
      <c r="P33" s="211"/>
      <c r="Q33" s="211"/>
      <c r="R33" s="211"/>
      <c r="S33" s="211"/>
      <c r="Y33" s="211"/>
      <c r="Z33" s="211"/>
      <c r="AA33" s="211"/>
      <c r="AB33" s="211"/>
      <c r="AC33" s="211"/>
      <c r="AD33" s="211"/>
      <c r="AE33" s="211"/>
      <c r="AF33" s="211"/>
      <c r="AG33" s="211"/>
      <c r="AH33" s="211"/>
      <c r="AI33" s="211"/>
      <c r="AJ33" s="211"/>
      <c r="AK33" s="211"/>
      <c r="AL33" s="211"/>
      <c r="AM33" s="211"/>
      <c r="AN33" s="211"/>
      <c r="AO33" s="211"/>
      <c r="AU33" s="211"/>
      <c r="AV33" s="211"/>
      <c r="AW33" s="211"/>
      <c r="AX33" s="211"/>
      <c r="AY33" s="211"/>
      <c r="AZ33" s="211"/>
      <c r="BA33" s="211"/>
      <c r="BB33" s="211"/>
      <c r="BC33" s="211"/>
      <c r="BD33" s="211"/>
      <c r="BE33" s="211"/>
      <c r="BF33" s="211"/>
      <c r="BG33" s="211"/>
      <c r="BH33" s="211"/>
      <c r="BI33" s="211"/>
      <c r="BJ33" s="211"/>
      <c r="BK33" s="211"/>
    </row>
    <row r="34" spans="1:63" x14ac:dyDescent="0.25">
      <c r="C34" s="211"/>
      <c r="D34" s="211"/>
      <c r="E34" s="211"/>
      <c r="F34" s="211"/>
      <c r="G34" s="211"/>
      <c r="H34" s="211"/>
      <c r="I34" s="211"/>
      <c r="J34" s="211"/>
      <c r="K34" s="211"/>
      <c r="L34" s="211"/>
      <c r="M34" s="211"/>
      <c r="N34" s="211"/>
      <c r="O34" s="211"/>
      <c r="P34" s="211"/>
      <c r="Q34" s="211"/>
      <c r="R34" s="211"/>
      <c r="S34" s="211"/>
      <c r="Y34" s="211"/>
      <c r="Z34" s="211"/>
      <c r="AA34" s="211"/>
      <c r="AB34" s="211"/>
      <c r="AC34" s="211"/>
      <c r="AD34" s="211"/>
      <c r="AE34" s="211"/>
      <c r="AF34" s="211"/>
      <c r="AG34" s="211"/>
      <c r="AH34" s="211"/>
      <c r="AI34" s="211"/>
      <c r="AJ34" s="211"/>
      <c r="AK34" s="211"/>
      <c r="AL34" s="211"/>
      <c r="AM34" s="211"/>
      <c r="AN34" s="211"/>
      <c r="AO34" s="211"/>
      <c r="AU34" s="211"/>
      <c r="AV34" s="211"/>
      <c r="AW34" s="211"/>
      <c r="AX34" s="211"/>
      <c r="AY34" s="211"/>
      <c r="AZ34" s="211"/>
      <c r="BA34" s="211"/>
      <c r="BB34" s="211"/>
      <c r="BC34" s="211"/>
      <c r="BD34" s="211"/>
      <c r="BE34" s="211"/>
      <c r="BF34" s="211"/>
      <c r="BG34" s="211"/>
      <c r="BH34" s="211"/>
      <c r="BI34" s="211"/>
      <c r="BJ34" s="211"/>
      <c r="BK34" s="211"/>
    </row>
    <row r="35" spans="1:63" x14ac:dyDescent="0.25">
      <c r="C35" s="211"/>
      <c r="D35" s="211"/>
      <c r="E35" s="211"/>
      <c r="F35" s="211"/>
      <c r="G35" s="211"/>
      <c r="H35" s="211"/>
      <c r="I35" s="211"/>
      <c r="J35" s="211"/>
      <c r="K35" s="211"/>
      <c r="L35" s="211"/>
      <c r="M35" s="211"/>
      <c r="N35" s="211"/>
      <c r="O35" s="211"/>
      <c r="P35" s="211"/>
      <c r="Q35" s="211"/>
      <c r="R35" s="211"/>
      <c r="S35" s="211"/>
      <c r="Y35" s="211"/>
      <c r="Z35" s="211"/>
      <c r="AA35" s="211"/>
      <c r="AB35" s="211"/>
      <c r="AC35" s="211"/>
      <c r="AD35" s="211"/>
      <c r="AE35" s="211"/>
      <c r="AF35" s="211"/>
      <c r="AG35" s="211"/>
      <c r="AH35" s="211"/>
      <c r="AI35" s="211"/>
      <c r="AJ35" s="211"/>
      <c r="AK35" s="211"/>
      <c r="AL35" s="211"/>
      <c r="AM35" s="211"/>
      <c r="AN35" s="211"/>
      <c r="AO35" s="211"/>
      <c r="AU35" s="211"/>
      <c r="AV35" s="211"/>
      <c r="AW35" s="211"/>
      <c r="AX35" s="211"/>
      <c r="AY35" s="211"/>
      <c r="AZ35" s="211"/>
      <c r="BA35" s="211"/>
      <c r="BB35" s="211"/>
      <c r="BC35" s="211"/>
      <c r="BD35" s="211"/>
      <c r="BE35" s="211"/>
      <c r="BF35" s="211"/>
      <c r="BG35" s="211"/>
      <c r="BH35" s="211"/>
      <c r="BI35" s="211"/>
      <c r="BJ35" s="211"/>
      <c r="BK35" s="211"/>
    </row>
    <row r="36" spans="1:63" x14ac:dyDescent="0.25">
      <c r="C36" s="211"/>
      <c r="D36" s="211"/>
      <c r="E36" s="211"/>
      <c r="F36" s="211"/>
      <c r="G36" s="211"/>
      <c r="H36" s="211"/>
      <c r="I36" s="211"/>
      <c r="J36" s="211"/>
      <c r="K36" s="211"/>
      <c r="L36" s="211"/>
      <c r="M36" s="211"/>
      <c r="N36" s="211"/>
      <c r="O36" s="211"/>
      <c r="P36" s="211"/>
      <c r="Q36" s="211"/>
      <c r="R36" s="211"/>
      <c r="S36" s="211"/>
      <c r="Y36" s="211"/>
      <c r="Z36" s="211"/>
      <c r="AA36" s="211"/>
      <c r="AB36" s="211"/>
      <c r="AC36" s="211"/>
      <c r="AD36" s="211"/>
      <c r="AE36" s="211"/>
      <c r="AF36" s="211"/>
      <c r="AG36" s="211"/>
      <c r="AH36" s="211"/>
      <c r="AI36" s="211"/>
      <c r="AJ36" s="211"/>
      <c r="AK36" s="211"/>
      <c r="AL36" s="211"/>
      <c r="AM36" s="211"/>
      <c r="AN36" s="211"/>
      <c r="AO36" s="211"/>
      <c r="AU36" s="211"/>
      <c r="AV36" s="211"/>
      <c r="AW36" s="211"/>
      <c r="AX36" s="211"/>
      <c r="AY36" s="211"/>
      <c r="AZ36" s="211"/>
      <c r="BA36" s="211"/>
      <c r="BB36" s="211"/>
      <c r="BC36" s="211"/>
      <c r="BD36" s="211"/>
      <c r="BE36" s="211"/>
      <c r="BF36" s="211"/>
      <c r="BG36" s="211"/>
      <c r="BH36" s="211"/>
      <c r="BI36" s="211"/>
      <c r="BJ36" s="211"/>
      <c r="BK36" s="211"/>
    </row>
    <row r="38" spans="1:63" x14ac:dyDescent="0.25">
      <c r="A38" s="211"/>
      <c r="B38" s="211"/>
      <c r="C38" s="211"/>
      <c r="D38" s="211"/>
      <c r="E38" s="211"/>
      <c r="F38" s="211"/>
      <c r="G38" s="211"/>
      <c r="H38" s="211"/>
      <c r="I38" s="211"/>
      <c r="J38" s="211"/>
      <c r="K38" s="211"/>
      <c r="L38" s="211"/>
      <c r="M38" s="211"/>
      <c r="N38" s="211"/>
      <c r="O38" s="211"/>
      <c r="P38" s="211"/>
      <c r="Q38" s="211"/>
      <c r="R38" s="211"/>
      <c r="S38" s="211"/>
      <c r="Y38" s="211"/>
      <c r="Z38" s="211"/>
      <c r="AA38" s="211"/>
      <c r="AB38" s="211"/>
      <c r="AC38" s="211"/>
      <c r="AD38" s="211"/>
      <c r="AE38" s="211"/>
      <c r="AF38" s="211"/>
      <c r="AG38" s="211"/>
      <c r="AH38" s="211"/>
      <c r="AI38" s="211"/>
      <c r="AJ38" s="211"/>
      <c r="AK38" s="211"/>
      <c r="AL38" s="211"/>
      <c r="AM38" s="211"/>
      <c r="AN38" s="211"/>
      <c r="AO38" s="211"/>
      <c r="AU38" s="211"/>
      <c r="AV38" s="211"/>
      <c r="AW38" s="211"/>
      <c r="AX38" s="211"/>
      <c r="AY38" s="211"/>
      <c r="AZ38" s="211"/>
      <c r="BA38" s="211"/>
      <c r="BB38" s="211"/>
      <c r="BC38" s="211"/>
      <c r="BD38" s="211"/>
      <c r="BE38" s="211"/>
      <c r="BF38" s="211"/>
      <c r="BG38" s="211"/>
      <c r="BH38" s="211"/>
      <c r="BI38" s="211"/>
      <c r="BJ38" s="211"/>
      <c r="BK38" s="211"/>
    </row>
  </sheetData>
  <mergeCells count="15">
    <mergeCell ref="BJ8:BM8"/>
    <mergeCell ref="A3:P3"/>
    <mergeCell ref="W3:AL3"/>
    <mergeCell ref="AS3:BH3"/>
    <mergeCell ref="C8:F8"/>
    <mergeCell ref="H8:K8"/>
    <mergeCell ref="M8:P8"/>
    <mergeCell ref="R8:U8"/>
    <mergeCell ref="Y8:AB8"/>
    <mergeCell ref="AD8:AG8"/>
    <mergeCell ref="AI8:AL8"/>
    <mergeCell ref="AN8:AQ8"/>
    <mergeCell ref="AU8:AX8"/>
    <mergeCell ref="AZ8:BC8"/>
    <mergeCell ref="BE8:BH8"/>
  </mergeCells>
  <conditionalFormatting sqref="C11">
    <cfRule type="cellIs" dxfId="23" priority="24" operator="lessThan">
      <formula>11</formula>
    </cfRule>
  </conditionalFormatting>
  <conditionalFormatting sqref="C17:C19 C15 C13">
    <cfRule type="cellIs" dxfId="22" priority="23" operator="lessThan">
      <formula>11</formula>
    </cfRule>
  </conditionalFormatting>
  <conditionalFormatting sqref="H11">
    <cfRule type="cellIs" dxfId="21" priority="22" operator="lessThan">
      <formula>11</formula>
    </cfRule>
  </conditionalFormatting>
  <conditionalFormatting sqref="H17:H19 H15 H13">
    <cfRule type="cellIs" dxfId="20" priority="21" operator="lessThan">
      <formula>11</formula>
    </cfRule>
  </conditionalFormatting>
  <conditionalFormatting sqref="M11">
    <cfRule type="cellIs" dxfId="19" priority="20" operator="lessThan">
      <formula>11</formula>
    </cfRule>
  </conditionalFormatting>
  <conditionalFormatting sqref="M17:M19 M15 M13">
    <cfRule type="cellIs" dxfId="18" priority="19" operator="lessThan">
      <formula>11</formula>
    </cfRule>
  </conditionalFormatting>
  <conditionalFormatting sqref="R11">
    <cfRule type="cellIs" dxfId="17" priority="18" operator="lessThan">
      <formula>11</formula>
    </cfRule>
  </conditionalFormatting>
  <conditionalFormatting sqref="R17:R19 R15 R13">
    <cfRule type="cellIs" dxfId="16" priority="17" operator="lessThan">
      <formula>11</formula>
    </cfRule>
  </conditionalFormatting>
  <conditionalFormatting sqref="Y11">
    <cfRule type="cellIs" dxfId="15" priority="16" operator="lessThan">
      <formula>11</formula>
    </cfRule>
  </conditionalFormatting>
  <conditionalFormatting sqref="Y17:Y19 Y15 Y13">
    <cfRule type="cellIs" dxfId="14" priority="15" operator="lessThan">
      <formula>11</formula>
    </cfRule>
  </conditionalFormatting>
  <conditionalFormatting sqref="AD11">
    <cfRule type="cellIs" dxfId="13" priority="14" operator="lessThan">
      <formula>11</formula>
    </cfRule>
  </conditionalFormatting>
  <conditionalFormatting sqref="AD17:AD19 AD15 AD13">
    <cfRule type="cellIs" dxfId="12" priority="13" operator="lessThan">
      <formula>11</formula>
    </cfRule>
  </conditionalFormatting>
  <conditionalFormatting sqref="AI11">
    <cfRule type="cellIs" dxfId="11" priority="12" operator="lessThan">
      <formula>11</formula>
    </cfRule>
  </conditionalFormatting>
  <conditionalFormatting sqref="AI17:AI19 AI15 AI13">
    <cfRule type="cellIs" dxfId="10" priority="11" operator="lessThan">
      <formula>11</formula>
    </cfRule>
  </conditionalFormatting>
  <conditionalFormatting sqref="AN11">
    <cfRule type="cellIs" dxfId="9" priority="10" operator="lessThan">
      <formula>11</formula>
    </cfRule>
  </conditionalFormatting>
  <conditionalFormatting sqref="AN17:AN19 AN15 AN13">
    <cfRule type="cellIs" dxfId="8" priority="9" operator="lessThan">
      <formula>11</formula>
    </cfRule>
  </conditionalFormatting>
  <conditionalFormatting sqref="AU11">
    <cfRule type="cellIs" dxfId="7" priority="8" operator="lessThan">
      <formula>11</formula>
    </cfRule>
  </conditionalFormatting>
  <conditionalFormatting sqref="AU17:AU19 AU15 AU13">
    <cfRule type="cellIs" dxfId="6" priority="7" operator="lessThan">
      <formula>11</formula>
    </cfRule>
  </conditionalFormatting>
  <conditionalFormatting sqref="AZ11">
    <cfRule type="cellIs" dxfId="5" priority="6" operator="lessThan">
      <formula>11</formula>
    </cfRule>
  </conditionalFormatting>
  <conditionalFormatting sqref="AZ17:AZ19 AZ15 AZ13">
    <cfRule type="cellIs" dxfId="4" priority="5" operator="lessThan">
      <formula>11</formula>
    </cfRule>
  </conditionalFormatting>
  <conditionalFormatting sqref="BE11">
    <cfRule type="cellIs" dxfId="3" priority="4" operator="lessThan">
      <formula>11</formula>
    </cfRule>
  </conditionalFormatting>
  <conditionalFormatting sqref="BE17:BE19 BE15 BE13">
    <cfRule type="cellIs" dxfId="2" priority="3" operator="lessThan">
      <formula>11</formula>
    </cfRule>
  </conditionalFormatting>
  <conditionalFormatting sqref="BJ11">
    <cfRule type="cellIs" dxfId="1" priority="2" operator="lessThan">
      <formula>11</formula>
    </cfRule>
  </conditionalFormatting>
  <conditionalFormatting sqref="BJ17:BJ19 BJ15 BJ13">
    <cfRule type="cellIs" dxfId="0" priority="1" operator="lessThan">
      <formula>11</formula>
    </cfRule>
  </conditionalFormatting>
  <dataValidations count="1">
    <dataValidation type="list" allowBlank="1" showInputMessage="1" showErrorMessage="1" sqref="U6 AQ6 BM6">
      <formula1>$B$25:$B$27</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9"/>
  <sheetViews>
    <sheetView showGridLines="0" workbookViewId="0"/>
  </sheetViews>
  <sheetFormatPr defaultColWidth="9" defaultRowHeight="15" x14ac:dyDescent="0.25"/>
  <cols>
    <col min="1" max="1" width="5.42578125" style="7" customWidth="1"/>
    <col min="2" max="2" width="67.42578125" style="7" customWidth="1"/>
    <col min="3" max="6" width="9" style="7"/>
    <col min="7" max="7" width="3.140625" style="7" customWidth="1"/>
    <col min="8" max="11" width="9" style="7"/>
    <col min="12" max="12" width="3.140625" style="7" customWidth="1"/>
    <col min="13" max="16" width="9" style="7"/>
    <col min="17" max="17" width="4" style="7" customWidth="1"/>
    <col min="18" max="26" width="9" style="7"/>
    <col min="27" max="28" width="0" style="7" hidden="1" customWidth="1"/>
    <col min="29" max="16384" width="9" style="7"/>
  </cols>
  <sheetData>
    <row r="1" spans="1:28" ht="15" customHeight="1" x14ac:dyDescent="0.25">
      <c r="A1" s="324"/>
      <c r="AA1" s="269" t="s">
        <v>17</v>
      </c>
      <c r="AB1" s="208" t="s">
        <v>20</v>
      </c>
    </row>
    <row r="2" spans="1:28" ht="15" customHeight="1" x14ac:dyDescent="0.25">
      <c r="A2" s="209" t="s">
        <v>12</v>
      </c>
      <c r="B2" s="198"/>
      <c r="C2" s="198"/>
      <c r="D2" s="198"/>
      <c r="E2" s="198"/>
      <c r="F2" s="198"/>
      <c r="G2" s="198"/>
      <c r="AA2" s="269"/>
      <c r="AB2" s="208" t="s">
        <v>19</v>
      </c>
    </row>
    <row r="3" spans="1:28" ht="30" customHeight="1" x14ac:dyDescent="0.25">
      <c r="A3" s="349" t="s">
        <v>135</v>
      </c>
      <c r="B3" s="349"/>
      <c r="C3" s="349"/>
      <c r="D3" s="349"/>
      <c r="E3" s="349"/>
      <c r="F3" s="349"/>
      <c r="G3" s="349"/>
      <c r="H3" s="349"/>
      <c r="I3" s="349"/>
      <c r="J3" s="349"/>
      <c r="K3" s="349"/>
      <c r="L3" s="349"/>
      <c r="M3" s="349"/>
      <c r="N3" s="349"/>
      <c r="O3" s="349"/>
      <c r="P3" s="349"/>
      <c r="AA3" s="269"/>
      <c r="AB3" s="208" t="s">
        <v>18</v>
      </c>
    </row>
    <row r="4" spans="1:28" ht="15" customHeight="1" x14ac:dyDescent="0.25">
      <c r="A4" s="210" t="s">
        <v>14</v>
      </c>
      <c r="B4" s="104"/>
      <c r="C4" s="104"/>
      <c r="D4" s="104"/>
      <c r="E4" s="104"/>
      <c r="F4" s="104"/>
      <c r="G4" s="104"/>
      <c r="AA4" s="254"/>
      <c r="AB4" s="254"/>
    </row>
    <row r="5" spans="1:28" ht="15" customHeight="1" x14ac:dyDescent="0.25">
      <c r="A5" s="113" t="s">
        <v>64</v>
      </c>
      <c r="B5" s="104"/>
      <c r="C5" s="104"/>
      <c r="D5" s="104"/>
      <c r="E5" s="104"/>
      <c r="F5" s="104"/>
      <c r="G5" s="104"/>
      <c r="AA5" s="254"/>
      <c r="AB5" s="254">
        <f>IF(U10="Total",0,IF(U10="Male",22,44))</f>
        <v>0</v>
      </c>
    </row>
    <row r="6" spans="1:28" ht="15" customHeight="1" x14ac:dyDescent="0.25">
      <c r="A6" s="113"/>
      <c r="B6" s="104"/>
      <c r="C6" s="104"/>
      <c r="D6" s="104"/>
      <c r="E6" s="104"/>
      <c r="F6" s="104"/>
      <c r="G6" s="104"/>
      <c r="AA6" s="254"/>
      <c r="AB6" s="254"/>
    </row>
    <row r="7" spans="1:28" ht="15" customHeight="1" x14ac:dyDescent="0.25">
      <c r="A7" s="329" t="s">
        <v>124</v>
      </c>
      <c r="B7" s="330"/>
      <c r="C7" s="330"/>
      <c r="D7" s="330"/>
      <c r="E7" s="330"/>
      <c r="F7" s="330"/>
      <c r="G7" s="330"/>
      <c r="H7" s="330"/>
      <c r="I7" s="330"/>
      <c r="J7" s="330"/>
      <c r="K7" s="330"/>
      <c r="L7" s="330"/>
      <c r="M7" s="330"/>
      <c r="N7" s="330"/>
      <c r="O7" s="330"/>
      <c r="P7" s="330"/>
      <c r="Q7" s="330"/>
      <c r="R7" s="330"/>
      <c r="S7" s="330"/>
      <c r="T7" s="330"/>
      <c r="U7" s="330"/>
      <c r="Z7" s="254"/>
      <c r="AA7" s="254"/>
    </row>
    <row r="8" spans="1:28" ht="15" customHeight="1" x14ac:dyDescent="0.25">
      <c r="A8" s="330"/>
      <c r="B8" s="330"/>
      <c r="C8" s="330"/>
      <c r="D8" s="330"/>
      <c r="E8" s="330"/>
      <c r="F8" s="330"/>
      <c r="G8" s="330"/>
      <c r="H8" s="330"/>
      <c r="I8" s="330"/>
      <c r="J8" s="330"/>
      <c r="K8" s="330"/>
      <c r="L8" s="330"/>
      <c r="M8" s="330"/>
      <c r="N8" s="330"/>
      <c r="O8" s="330"/>
      <c r="P8" s="330"/>
      <c r="Q8" s="330"/>
      <c r="R8" s="330"/>
      <c r="S8" s="330"/>
      <c r="T8" s="330"/>
      <c r="U8" s="330"/>
      <c r="Z8" s="254"/>
      <c r="AA8" s="254"/>
    </row>
    <row r="9" spans="1:28" ht="15" customHeight="1" x14ac:dyDescent="0.25">
      <c r="A9" s="294"/>
      <c r="B9" s="294"/>
      <c r="C9" s="294"/>
      <c r="D9" s="294"/>
      <c r="E9" s="294"/>
      <c r="F9" s="294"/>
      <c r="G9" s="294"/>
      <c r="H9" s="294"/>
      <c r="I9" s="294"/>
      <c r="J9" s="294"/>
      <c r="K9" s="294"/>
      <c r="L9" s="294"/>
      <c r="M9" s="294"/>
      <c r="N9" s="294"/>
      <c r="O9" s="294"/>
      <c r="P9" s="294"/>
      <c r="Q9" s="294"/>
      <c r="R9" s="294"/>
      <c r="S9" s="294"/>
      <c r="T9" s="294"/>
      <c r="U9" s="294"/>
      <c r="Z9" s="254"/>
      <c r="AA9" s="254"/>
    </row>
    <row r="10" spans="1:28" ht="15" customHeight="1" x14ac:dyDescent="0.25">
      <c r="A10" s="109"/>
      <c r="B10" s="175"/>
      <c r="C10" s="175"/>
      <c r="D10" s="175"/>
      <c r="E10" s="175"/>
      <c r="F10" s="175"/>
      <c r="G10" s="175"/>
      <c r="T10" s="240" t="s">
        <v>17</v>
      </c>
      <c r="U10" s="322" t="s">
        <v>20</v>
      </c>
    </row>
    <row r="11" spans="1:28" ht="15" customHeight="1" x14ac:dyDescent="0.25">
      <c r="A11" s="212"/>
      <c r="B11" s="213"/>
      <c r="C11" s="214"/>
      <c r="D11" s="214"/>
      <c r="E11" s="214"/>
      <c r="F11" s="214"/>
      <c r="G11" s="214"/>
    </row>
    <row r="12" spans="1:28" ht="22.5" customHeight="1" x14ac:dyDescent="0.25">
      <c r="A12" s="215"/>
      <c r="B12" s="215"/>
      <c r="C12" s="350" t="s">
        <v>111</v>
      </c>
      <c r="D12" s="351"/>
      <c r="E12" s="351"/>
      <c r="F12" s="352"/>
      <c r="G12" s="216"/>
      <c r="H12" s="350" t="s">
        <v>112</v>
      </c>
      <c r="I12" s="351"/>
      <c r="J12" s="351"/>
      <c r="K12" s="352"/>
      <c r="L12" s="216"/>
      <c r="M12" s="350" t="s">
        <v>190</v>
      </c>
      <c r="N12" s="351"/>
      <c r="O12" s="351"/>
      <c r="P12" s="352"/>
      <c r="Q12" s="216"/>
      <c r="R12" s="350" t="s">
        <v>20</v>
      </c>
      <c r="S12" s="351"/>
      <c r="T12" s="351"/>
      <c r="U12" s="352"/>
    </row>
    <row r="13" spans="1:28" ht="33.75" x14ac:dyDescent="0.25">
      <c r="A13" s="111"/>
      <c r="B13" s="217"/>
      <c r="C13" s="218" t="s">
        <v>41</v>
      </c>
      <c r="D13" s="219" t="s">
        <v>65</v>
      </c>
      <c r="E13" s="220" t="s">
        <v>43</v>
      </c>
      <c r="F13" s="220" t="s">
        <v>44</v>
      </c>
      <c r="G13" s="220"/>
      <c r="H13" s="218" t="s">
        <v>41</v>
      </c>
      <c r="I13" s="219" t="s">
        <v>65</v>
      </c>
      <c r="J13" s="220" t="s">
        <v>43</v>
      </c>
      <c r="K13" s="220" t="s">
        <v>44</v>
      </c>
      <c r="L13" s="220"/>
      <c r="M13" s="218" t="s">
        <v>41</v>
      </c>
      <c r="N13" s="219" t="s">
        <v>65</v>
      </c>
      <c r="O13" s="220" t="s">
        <v>43</v>
      </c>
      <c r="P13" s="220" t="s">
        <v>44</v>
      </c>
      <c r="Q13" s="220"/>
      <c r="R13" s="218" t="s">
        <v>41</v>
      </c>
      <c r="S13" s="219" t="s">
        <v>65</v>
      </c>
      <c r="T13" s="220" t="s">
        <v>43</v>
      </c>
      <c r="U13" s="220" t="s">
        <v>44</v>
      </c>
    </row>
    <row r="14" spans="1:28" ht="15" customHeight="1" x14ac:dyDescent="0.25">
      <c r="A14" s="108"/>
      <c r="B14" s="175"/>
      <c r="C14" s="175"/>
      <c r="D14" s="175"/>
      <c r="E14" s="175"/>
      <c r="F14" s="175"/>
      <c r="G14" s="175"/>
      <c r="H14" s="175"/>
      <c r="I14" s="175"/>
      <c r="J14" s="175"/>
      <c r="K14" s="175"/>
      <c r="L14" s="175"/>
      <c r="M14" s="175"/>
      <c r="N14" s="175"/>
      <c r="O14" s="175"/>
      <c r="P14" s="175"/>
      <c r="Q14" s="175"/>
      <c r="R14" s="175"/>
      <c r="S14" s="175"/>
      <c r="T14" s="175"/>
      <c r="U14" s="175"/>
    </row>
    <row r="15" spans="1:28" ht="14.25" customHeight="1" x14ac:dyDescent="0.25">
      <c r="A15" s="108" t="s">
        <v>68</v>
      </c>
      <c r="B15" s="175"/>
      <c r="C15" s="193">
        <f>INDEX('Table B3 feeder rounded values'!$C$11:$BM$19,1,1+$AB$5)</f>
        <v>970</v>
      </c>
      <c r="D15" s="273">
        <f>INDEX('Table B3 feeder rounded values'!$C$11:$BM$19,1,2+$AB$5)</f>
        <v>-0.49</v>
      </c>
      <c r="E15" s="273">
        <f>INDEX('Table B3 feeder rounded values'!$C$11:$BM$19,1,3+$AB$5)</f>
        <v>-0.55000000000000004</v>
      </c>
      <c r="F15" s="273">
        <f>INDEX('Table B3 feeder rounded values'!$C$11:$BM$19,1,4+$AB$5)</f>
        <v>-0.42</v>
      </c>
      <c r="G15" s="193"/>
      <c r="H15" s="193">
        <f>INDEX('Table B3 feeder rounded values'!$C$11:$BM$19,1,6+$AB$5)</f>
        <v>220</v>
      </c>
      <c r="I15" s="273">
        <f>INDEX('Table B3 feeder rounded values'!$C$11:$BM$19,1,7+$AB$5)</f>
        <v>-0.38</v>
      </c>
      <c r="J15" s="273">
        <f>INDEX('Table B3 feeder rounded values'!$C$11:$BM$19,1,8+$AB$5)</f>
        <v>-0.52</v>
      </c>
      <c r="K15" s="273">
        <f>INDEX('Table B3 feeder rounded values'!$C$11:$BM$19,1,9+$AB$5)</f>
        <v>-0.24</v>
      </c>
      <c r="L15" s="193"/>
      <c r="M15" s="193">
        <f>INDEX('Table B3 feeder rounded values'!$C$11:$BM$19,1,11+$AB$5)</f>
        <v>100</v>
      </c>
      <c r="N15" s="273">
        <f>INDEX('Table B3 feeder rounded values'!$C$11:$BM$19,1,12+$AB$5)</f>
        <v>-0.43</v>
      </c>
      <c r="O15" s="273">
        <f>INDEX('Table B3 feeder rounded values'!$C$11:$BM$19,1,13+$AB$5)</f>
        <v>-0.64</v>
      </c>
      <c r="P15" s="273">
        <f>INDEX('Table B3 feeder rounded values'!$C$11:$BM$19,1,14+$AB$5)</f>
        <v>-0.22</v>
      </c>
      <c r="Q15" s="193"/>
      <c r="R15" s="193">
        <f>INDEX('Table B3 feeder rounded values'!$C$11:$BM$19,1,16+$AB$5)</f>
        <v>1300</v>
      </c>
      <c r="S15" s="273">
        <f>INDEX('Table B3 feeder rounded values'!$C$11:$BM$19,1,17+$AB$5)</f>
        <v>-0.46</v>
      </c>
      <c r="T15" s="273">
        <f>INDEX('Table B3 feeder rounded values'!$C$11:$BM$19,1,18+$AB$5)</f>
        <v>-0.52</v>
      </c>
      <c r="U15" s="273">
        <f>INDEX('Table B3 feeder rounded values'!$C$11:$BM$19,1,19+$AB$5)</f>
        <v>-0.41</v>
      </c>
    </row>
    <row r="16" spans="1:28" ht="15" customHeight="1" x14ac:dyDescent="0.25">
      <c r="A16" s="108"/>
      <c r="B16" s="175"/>
      <c r="C16" s="175"/>
      <c r="D16" s="175"/>
      <c r="E16" s="175"/>
      <c r="F16" s="175"/>
      <c r="G16" s="175"/>
      <c r="H16" s="175"/>
      <c r="I16" s="175"/>
      <c r="J16" s="175"/>
      <c r="K16" s="175"/>
      <c r="L16" s="175"/>
      <c r="M16" s="175"/>
      <c r="N16" s="175"/>
      <c r="O16" s="175"/>
      <c r="P16" s="175"/>
      <c r="Q16" s="175"/>
      <c r="R16" s="175"/>
      <c r="S16" s="175"/>
      <c r="T16" s="175"/>
      <c r="U16" s="175"/>
    </row>
    <row r="17" spans="1:34" ht="15" customHeight="1" x14ac:dyDescent="0.25">
      <c r="A17" s="108" t="s">
        <v>178</v>
      </c>
      <c r="B17" s="175"/>
      <c r="C17" s="193">
        <f>INDEX('Table B3 feeder rounded values'!$C$11:$BM$19,3,1+$AB$5)</f>
        <v>1100</v>
      </c>
      <c r="D17" s="273">
        <f>INDEX('Table B3 feeder rounded values'!$C$11:$BM$19,3,2+$AB$5)</f>
        <v>-0.64</v>
      </c>
      <c r="E17" s="273">
        <f>INDEX('Table B3 feeder rounded values'!$C$11:$BM$19,3,3+$AB$5)</f>
        <v>-0.71</v>
      </c>
      <c r="F17" s="273">
        <f>INDEX('Table B3 feeder rounded values'!$C$11:$BM$19,3,4+$AB$5)</f>
        <v>-0.57999999999999996</v>
      </c>
      <c r="G17" s="193"/>
      <c r="H17" s="193">
        <f>INDEX('Table B3 feeder rounded values'!$C$11:$BM$19,3,6+$AB$5)</f>
        <v>250</v>
      </c>
      <c r="I17" s="273">
        <f>INDEX('Table B3 feeder rounded values'!$C$11:$BM$19,3,7+$AB$5)</f>
        <v>-0.52</v>
      </c>
      <c r="J17" s="273">
        <f>INDEX('Table B3 feeder rounded values'!$C$11:$BM$19,3,8+$AB$5)</f>
        <v>-0.65</v>
      </c>
      <c r="K17" s="273">
        <f>INDEX('Table B3 feeder rounded values'!$C$11:$BM$19,3,9+$AB$5)</f>
        <v>-0.39</v>
      </c>
      <c r="L17" s="193"/>
      <c r="M17" s="193">
        <f>INDEX('Table B3 feeder rounded values'!$C$11:$BM$19,3,11+$AB$5)</f>
        <v>120</v>
      </c>
      <c r="N17" s="273">
        <f>INDEX('Table B3 feeder rounded values'!$C$11:$BM$19,3,12+$AB$5)</f>
        <v>-0.63</v>
      </c>
      <c r="O17" s="273">
        <f>INDEX('Table B3 feeder rounded values'!$C$11:$BM$19,3,13+$AB$5)</f>
        <v>-0.82</v>
      </c>
      <c r="P17" s="273">
        <f>INDEX('Table B3 feeder rounded values'!$C$11:$BM$19,3,14+$AB$5)</f>
        <v>-0.44</v>
      </c>
      <c r="Q17" s="193"/>
      <c r="R17" s="193">
        <f>INDEX('Table B3 feeder rounded values'!$C$11:$BM$19,3,16+$AB$5)</f>
        <v>1460</v>
      </c>
      <c r="S17" s="273">
        <f>INDEX('Table B3 feeder rounded values'!$C$11:$BM$19,3,17+$AB$5)</f>
        <v>-0.62</v>
      </c>
      <c r="T17" s="273">
        <f>INDEX('Table B3 feeder rounded values'!$C$11:$BM$19,3,18+$AB$5)</f>
        <v>-0.68</v>
      </c>
      <c r="U17" s="273">
        <f>INDEX('Table B3 feeder rounded values'!$C$11:$BM$19,3,19+$AB$5)</f>
        <v>-0.56999999999999995</v>
      </c>
    </row>
    <row r="18" spans="1:34" ht="15" customHeight="1" x14ac:dyDescent="0.25">
      <c r="A18" s="110"/>
      <c r="B18" s="175"/>
      <c r="C18" s="193"/>
      <c r="D18" s="193"/>
      <c r="E18" s="193"/>
      <c r="F18" s="193"/>
      <c r="G18" s="193"/>
      <c r="H18" s="193"/>
      <c r="I18" s="193"/>
      <c r="J18" s="193"/>
      <c r="K18" s="193"/>
      <c r="L18" s="193"/>
      <c r="M18" s="193"/>
      <c r="N18" s="193"/>
      <c r="O18" s="193"/>
      <c r="P18" s="193"/>
      <c r="Q18" s="193"/>
      <c r="R18" s="193"/>
      <c r="S18" s="193"/>
      <c r="T18" s="193"/>
      <c r="U18" s="193"/>
    </row>
    <row r="19" spans="1:34" ht="15" customHeight="1" x14ac:dyDescent="0.25">
      <c r="A19" s="223" t="s">
        <v>45</v>
      </c>
      <c r="B19" s="175"/>
      <c r="C19" s="193">
        <f>INDEX('Table B3 feeder rounded values'!$C$11:$BM$19,5,1+$AB$5)</f>
        <v>550</v>
      </c>
      <c r="D19" s="273">
        <f>INDEX('Table B3 feeder rounded values'!$C$11:$BM$19,5,2+$AB$5)</f>
        <v>-0.27</v>
      </c>
      <c r="E19" s="273">
        <f>INDEX('Table B3 feeder rounded values'!$C$11:$BM$19,5,3+$AB$5)</f>
        <v>-0.36</v>
      </c>
      <c r="F19" s="273">
        <f>INDEX('Table B3 feeder rounded values'!$C$11:$BM$19,5,4+$AB$5)</f>
        <v>-0.18</v>
      </c>
      <c r="G19" s="193"/>
      <c r="H19" s="193">
        <f>INDEX('Table B3 feeder rounded values'!$C$11:$BM$19,5,6+$AB$5)</f>
        <v>150</v>
      </c>
      <c r="I19" s="273">
        <f>INDEX('Table B3 feeder rounded values'!$C$11:$BM$19,5,7+$AB$5)</f>
        <v>-0.26</v>
      </c>
      <c r="J19" s="273">
        <f>INDEX('Table B3 feeder rounded values'!$C$11:$BM$19,5,8+$AB$5)</f>
        <v>-0.43</v>
      </c>
      <c r="K19" s="273">
        <f>INDEX('Table B3 feeder rounded values'!$C$11:$BM$19,5,9+$AB$5)</f>
        <v>-0.09</v>
      </c>
      <c r="L19" s="193"/>
      <c r="M19" s="193">
        <f>INDEX('Table B3 feeder rounded values'!$C$11:$BM$19,5,11+$AB$5)</f>
        <v>70</v>
      </c>
      <c r="N19" s="273">
        <f>INDEX('Table B3 feeder rounded values'!$C$11:$BM$19,5,12+$AB$5)</f>
        <v>-0.38</v>
      </c>
      <c r="O19" s="273">
        <f>INDEX('Table B3 feeder rounded values'!$C$11:$BM$19,5,13+$AB$5)</f>
        <v>-0.64</v>
      </c>
      <c r="P19" s="273">
        <f>INDEX('Table B3 feeder rounded values'!$C$11:$BM$19,5,14+$AB$5)</f>
        <v>-0.13</v>
      </c>
      <c r="Q19" s="193"/>
      <c r="R19" s="193">
        <f>INDEX('Table B3 feeder rounded values'!$C$11:$BM$19,5,16+$AB$5)</f>
        <v>760</v>
      </c>
      <c r="S19" s="273">
        <f>INDEX('Table B3 feeder rounded values'!$C$11:$BM$19,5,17+$AB$5)</f>
        <v>-0.28000000000000003</v>
      </c>
      <c r="T19" s="273">
        <f>INDEX('Table B3 feeder rounded values'!$C$11:$BM$19,5,18+$AB$5)</f>
        <v>-0.35</v>
      </c>
      <c r="U19" s="273">
        <f>INDEX('Table B3 feeder rounded values'!$C$11:$BM$19,5,19+$AB$5)</f>
        <v>-0.2</v>
      </c>
    </row>
    <row r="20" spans="1:34" ht="15" customHeight="1" x14ac:dyDescent="0.25">
      <c r="A20" s="223"/>
      <c r="B20" s="175"/>
      <c r="C20" s="195"/>
      <c r="D20" s="172"/>
      <c r="E20" s="195"/>
      <c r="F20" s="172"/>
      <c r="G20" s="172"/>
      <c r="H20" s="195"/>
      <c r="I20" s="172"/>
      <c r="J20" s="195"/>
      <c r="K20" s="172"/>
      <c r="L20" s="172"/>
      <c r="M20" s="195"/>
      <c r="N20" s="172"/>
      <c r="O20" s="195"/>
      <c r="P20" s="172"/>
      <c r="Q20" s="172"/>
      <c r="R20" s="195"/>
      <c r="S20" s="172"/>
      <c r="T20" s="195"/>
      <c r="U20" s="172"/>
    </row>
    <row r="21" spans="1:34" ht="15" customHeight="1" x14ac:dyDescent="0.25">
      <c r="A21" s="223" t="s">
        <v>75</v>
      </c>
      <c r="B21" s="175"/>
      <c r="C21" s="193">
        <f>INDEX('Table B3 feeder rounded values'!$C$11:$BM$19,7,1+$AB$5)</f>
        <v>550</v>
      </c>
      <c r="D21" s="273">
        <f>INDEX('Table B3 feeder rounded values'!$C$11:$BM$19,7,2+$AB$5)</f>
        <v>-1.02</v>
      </c>
      <c r="E21" s="273">
        <f>INDEX('Table B3 feeder rounded values'!$C$11:$BM$19,7,3+$AB$5)</f>
        <v>-1.1000000000000001</v>
      </c>
      <c r="F21" s="273">
        <f>INDEX('Table B3 feeder rounded values'!$C$11:$BM$19,7,4+$AB$5)</f>
        <v>-0.93</v>
      </c>
      <c r="G21" s="193"/>
      <c r="H21" s="193">
        <f>INDEX('Table B3 feeder rounded values'!$C$11:$BM$19,7,6+$AB$5)</f>
        <v>100</v>
      </c>
      <c r="I21" s="273">
        <f>INDEX('Table B3 feeder rounded values'!$C$11:$BM$19,7,7+$AB$5)</f>
        <v>-0.92</v>
      </c>
      <c r="J21" s="273">
        <f>INDEX('Table B3 feeder rounded values'!$C$11:$BM$19,7,8+$AB$5)</f>
        <v>-1.1200000000000001</v>
      </c>
      <c r="K21" s="273">
        <f>INDEX('Table B3 feeder rounded values'!$C$11:$BM$19,7,9+$AB$5)</f>
        <v>-0.71</v>
      </c>
      <c r="L21" s="193"/>
      <c r="M21" s="193">
        <f>INDEX('Table B3 feeder rounded values'!$C$11:$BM$19,7,11+$AB$5)</f>
        <v>50</v>
      </c>
      <c r="N21" s="273">
        <f>INDEX('Table B3 feeder rounded values'!$C$11:$BM$19,7,12+$AB$5)</f>
        <v>-0.96</v>
      </c>
      <c r="O21" s="273">
        <f>INDEX('Table B3 feeder rounded values'!$C$11:$BM$19,7,13+$AB$5)</f>
        <v>-1.25</v>
      </c>
      <c r="P21" s="273">
        <f>INDEX('Table B3 feeder rounded values'!$C$11:$BM$19,7,14+$AB$5)</f>
        <v>-0.66</v>
      </c>
      <c r="Q21" s="193"/>
      <c r="R21" s="193">
        <f>INDEX('Table B3 feeder rounded values'!$C$11:$BM$19,7,16+$AB$5)</f>
        <v>700</v>
      </c>
      <c r="S21" s="273">
        <f>INDEX('Table B3 feeder rounded values'!$C$11:$BM$19,7,17+$AB$5)</f>
        <v>-1</v>
      </c>
      <c r="T21" s="273">
        <f>INDEX('Table B3 feeder rounded values'!$C$11:$BM$19,7,18+$AB$5)</f>
        <v>-1.08</v>
      </c>
      <c r="U21" s="273">
        <f>INDEX('Table B3 feeder rounded values'!$C$11:$BM$19,7,19+$AB$5)</f>
        <v>-0.92</v>
      </c>
    </row>
    <row r="22" spans="1:34" ht="15" customHeight="1" x14ac:dyDescent="0.25">
      <c r="A22" s="223"/>
      <c r="B22" s="223" t="s">
        <v>66</v>
      </c>
      <c r="C22" s="193">
        <f>INDEX('Table B3 feeder rounded values'!$C$11:$BM$19,8,1+$AB$5)</f>
        <v>250</v>
      </c>
      <c r="D22" s="273">
        <f>INDEX('Table B3 feeder rounded values'!$C$11:$BM$19,8,2+$AB$5)</f>
        <v>-1.19</v>
      </c>
      <c r="E22" s="273">
        <f>INDEX('Table B3 feeder rounded values'!$C$11:$BM$19,8,3+$AB$5)</f>
        <v>-1.32</v>
      </c>
      <c r="F22" s="273">
        <f>INDEX('Table B3 feeder rounded values'!$C$11:$BM$19,8,4+$AB$5)</f>
        <v>-1.05</v>
      </c>
      <c r="G22" s="193"/>
      <c r="H22" s="193">
        <f>INDEX('Table B3 feeder rounded values'!$C$11:$BM$19,8,6+$AB$5)</f>
        <v>40</v>
      </c>
      <c r="I22" s="273">
        <f>INDEX('Table B3 feeder rounded values'!$C$11:$BM$19,8,7+$AB$5)</f>
        <v>-1.22</v>
      </c>
      <c r="J22" s="273">
        <f>INDEX('Table B3 feeder rounded values'!$C$11:$BM$19,8,8+$AB$5)</f>
        <v>-1.54</v>
      </c>
      <c r="K22" s="273">
        <f>INDEX('Table B3 feeder rounded values'!$C$11:$BM$19,8,9+$AB$5)</f>
        <v>-0.91</v>
      </c>
      <c r="L22" s="193"/>
      <c r="M22" s="193">
        <f>INDEX('Table B3 feeder rounded values'!$C$11:$BM$19,8,11+$AB$5)</f>
        <v>20</v>
      </c>
      <c r="N22" s="273">
        <f>INDEX('Table B3 feeder rounded values'!$C$11:$BM$19,8,12+$AB$5)</f>
        <v>-1.58</v>
      </c>
      <c r="O22" s="273">
        <f>INDEX('Table B3 feeder rounded values'!$C$11:$BM$19,8,13+$AB$5)</f>
        <v>-2</v>
      </c>
      <c r="P22" s="273">
        <f>INDEX('Table B3 feeder rounded values'!$C$11:$BM$19,8,14+$AB$5)</f>
        <v>-1.1499999999999999</v>
      </c>
      <c r="Q22" s="193"/>
      <c r="R22" s="193">
        <f>INDEX('Table B3 feeder rounded values'!$C$11:$BM$19,8,16+$AB$5)</f>
        <v>320</v>
      </c>
      <c r="S22" s="273">
        <f>INDEX('Table B3 feeder rounded values'!$C$11:$BM$19,8,17+$AB$5)</f>
        <v>-1.22</v>
      </c>
      <c r="T22" s="273">
        <f>INDEX('Table B3 feeder rounded values'!$C$11:$BM$19,8,18+$AB$5)</f>
        <v>-1.34</v>
      </c>
      <c r="U22" s="273">
        <f>INDEX('Table B3 feeder rounded values'!$C$11:$BM$19,8,19+$AB$5)</f>
        <v>-1.1000000000000001</v>
      </c>
    </row>
    <row r="23" spans="1:34" ht="15" customHeight="1" x14ac:dyDescent="0.25">
      <c r="A23" s="223"/>
      <c r="B23" s="223" t="s">
        <v>67</v>
      </c>
      <c r="C23" s="193">
        <f>INDEX('Table B3 feeder rounded values'!$C$11:$BM$19,9,1+$AB$5)</f>
        <v>300</v>
      </c>
      <c r="D23" s="273">
        <f>INDEX('Table B3 feeder rounded values'!$C$11:$BM$19,9,2+$AB$5)</f>
        <v>-0.87</v>
      </c>
      <c r="E23" s="273">
        <f>INDEX('Table B3 feeder rounded values'!$C$11:$BM$19,9,3+$AB$5)</f>
        <v>-0.99</v>
      </c>
      <c r="F23" s="273">
        <f>INDEX('Table B3 feeder rounded values'!$C$11:$BM$19,9,4+$AB$5)</f>
        <v>-0.75</v>
      </c>
      <c r="G23" s="193"/>
      <c r="H23" s="193">
        <f>INDEX('Table B3 feeder rounded values'!$C$11:$BM$19,9,6+$AB$5)</f>
        <v>60</v>
      </c>
      <c r="I23" s="273">
        <f>INDEX('Table B3 feeder rounded values'!$C$11:$BM$19,9,7+$AB$5)</f>
        <v>-0.67</v>
      </c>
      <c r="J23" s="273">
        <f>INDEX('Table B3 feeder rounded values'!$C$11:$BM$19,9,8+$AB$5)</f>
        <v>-0.95</v>
      </c>
      <c r="K23" s="273">
        <f>INDEX('Table B3 feeder rounded values'!$C$11:$BM$19,9,9+$AB$5)</f>
        <v>-0.39</v>
      </c>
      <c r="L23" s="193"/>
      <c r="M23" s="193">
        <f>INDEX('Table B3 feeder rounded values'!$C$11:$BM$19,9,11+$AB$5)</f>
        <v>30</v>
      </c>
      <c r="N23" s="273">
        <f>INDEX('Table B3 feeder rounded values'!$C$11:$BM$19,9,12+$AB$5)</f>
        <v>-0.39</v>
      </c>
      <c r="O23" s="273">
        <f>INDEX('Table B3 feeder rounded values'!$C$11:$BM$19,9,13+$AB$5)</f>
        <v>-0.79</v>
      </c>
      <c r="P23" s="273">
        <f>INDEX('Table B3 feeder rounded values'!$C$11:$BM$19,9,14+$AB$5)</f>
        <v>0.02</v>
      </c>
      <c r="Q23" s="193"/>
      <c r="R23" s="193">
        <f>INDEX('Table B3 feeder rounded values'!$C$11:$BM$19,9,16+$AB$5)</f>
        <v>380</v>
      </c>
      <c r="S23" s="273">
        <f>INDEX('Table B3 feeder rounded values'!$C$11:$BM$19,9,17+$AB$5)</f>
        <v>-0.81</v>
      </c>
      <c r="T23" s="273">
        <f>INDEX('Table B3 feeder rounded values'!$C$11:$BM$19,9,18+$AB$5)</f>
        <v>-0.92</v>
      </c>
      <c r="U23" s="273">
        <f>INDEX('Table B3 feeder rounded values'!$C$11:$BM$19,9,19+$AB$5)</f>
        <v>-0.7</v>
      </c>
    </row>
    <row r="24" spans="1:34" ht="15" customHeight="1" x14ac:dyDescent="0.25">
      <c r="A24" s="224"/>
      <c r="B24" s="224"/>
      <c r="C24" s="225"/>
      <c r="D24" s="225"/>
      <c r="E24" s="225"/>
      <c r="F24" s="225"/>
      <c r="G24" s="225"/>
      <c r="H24" s="225"/>
      <c r="I24" s="225"/>
      <c r="J24" s="225"/>
      <c r="K24" s="225"/>
      <c r="L24" s="225"/>
      <c r="M24" s="225"/>
      <c r="N24" s="225"/>
      <c r="O24" s="225"/>
      <c r="P24" s="225"/>
      <c r="Q24" s="225"/>
      <c r="R24" s="225"/>
      <c r="S24" s="225"/>
      <c r="T24" s="225"/>
      <c r="U24" s="225"/>
    </row>
    <row r="25" spans="1:34" ht="22.5" customHeight="1" x14ac:dyDescent="0.25">
      <c r="A25" s="112"/>
      <c r="B25" s="198"/>
      <c r="C25" s="198"/>
      <c r="D25" s="198"/>
      <c r="E25" s="198"/>
      <c r="F25" s="198"/>
      <c r="G25" s="198"/>
      <c r="P25" s="174"/>
      <c r="U25" s="178" t="s">
        <v>121</v>
      </c>
    </row>
    <row r="26" spans="1:34" ht="11.25" customHeight="1" x14ac:dyDescent="0.25"/>
    <row r="27" spans="1:34" s="198" customFormat="1" ht="22.5" customHeight="1" x14ac:dyDescent="0.25">
      <c r="A27" s="356" t="s">
        <v>186</v>
      </c>
      <c r="B27" s="357"/>
      <c r="C27" s="357"/>
      <c r="D27" s="357"/>
      <c r="E27" s="357"/>
      <c r="F27" s="357"/>
      <c r="G27" s="357"/>
      <c r="H27" s="357"/>
      <c r="I27" s="357"/>
      <c r="J27" s="357"/>
      <c r="K27" s="357"/>
      <c r="L27" s="357"/>
      <c r="M27" s="357"/>
      <c r="N27" s="330"/>
      <c r="O27" s="330"/>
      <c r="P27" s="330"/>
      <c r="Q27" s="330"/>
      <c r="R27" s="330"/>
      <c r="S27" s="330"/>
      <c r="T27" s="330"/>
      <c r="U27" s="330"/>
      <c r="W27" s="211"/>
      <c r="AE27" s="208"/>
      <c r="AF27" s="254"/>
      <c r="AG27" s="208"/>
      <c r="AH27" s="208"/>
    </row>
    <row r="28" spans="1:34" s="16" customFormat="1" ht="22.5" customHeight="1" x14ac:dyDescent="0.25">
      <c r="A28" s="372" t="s">
        <v>173</v>
      </c>
      <c r="B28" s="372"/>
      <c r="C28" s="372"/>
      <c r="D28" s="372"/>
      <c r="E28" s="372"/>
      <c r="F28" s="372"/>
      <c r="G28" s="372"/>
      <c r="H28" s="372"/>
      <c r="I28" s="372"/>
      <c r="J28" s="372"/>
      <c r="K28" s="372"/>
      <c r="L28" s="372"/>
      <c r="M28" s="372"/>
      <c r="N28" s="372"/>
      <c r="O28" s="330"/>
      <c r="P28" s="330"/>
      <c r="Q28" s="330"/>
      <c r="R28" s="330"/>
      <c r="S28" s="330"/>
      <c r="T28" s="330"/>
      <c r="U28" s="330"/>
    </row>
    <row r="29" spans="1:34" s="16" customFormat="1" ht="22.5" customHeight="1" x14ac:dyDescent="0.25">
      <c r="A29" s="372" t="s">
        <v>174</v>
      </c>
      <c r="B29" s="372"/>
      <c r="C29" s="372"/>
      <c r="D29" s="372"/>
      <c r="E29" s="372"/>
      <c r="F29" s="372"/>
      <c r="G29" s="372"/>
      <c r="H29" s="372"/>
      <c r="I29" s="372"/>
      <c r="J29" s="372"/>
      <c r="K29" s="372"/>
      <c r="L29" s="372"/>
      <c r="M29" s="372"/>
      <c r="N29" s="372"/>
      <c r="O29" s="330"/>
      <c r="P29" s="330"/>
      <c r="Q29" s="330"/>
      <c r="R29" s="330"/>
      <c r="S29" s="330"/>
      <c r="T29" s="330"/>
      <c r="U29" s="330"/>
    </row>
    <row r="30" spans="1:34" s="16" customFormat="1" ht="11.25" customHeight="1" x14ac:dyDescent="0.25">
      <c r="A30" s="373" t="s">
        <v>175</v>
      </c>
      <c r="B30" s="373"/>
      <c r="C30" s="373"/>
      <c r="D30" s="373"/>
      <c r="E30" s="373"/>
      <c r="F30" s="373"/>
      <c r="G30" s="373"/>
      <c r="H30" s="373"/>
      <c r="I30" s="373"/>
      <c r="J30" s="373"/>
      <c r="K30" s="373"/>
      <c r="L30" s="373"/>
      <c r="M30" s="373"/>
      <c r="N30" s="373"/>
      <c r="O30" s="330"/>
      <c r="P30" s="330"/>
      <c r="Q30" s="330"/>
      <c r="R30" s="330"/>
      <c r="S30" s="330"/>
      <c r="T30" s="330"/>
      <c r="U30" s="330"/>
    </row>
    <row r="31" spans="1:34" s="16" customFormat="1" ht="11.25" customHeight="1" x14ac:dyDescent="0.25">
      <c r="A31" s="301" t="s">
        <v>169</v>
      </c>
      <c r="B31" s="302"/>
      <c r="C31" s="302"/>
      <c r="D31" s="302"/>
      <c r="E31" s="302"/>
      <c r="F31" s="302"/>
      <c r="G31" s="302"/>
      <c r="H31" s="302"/>
      <c r="I31" s="302"/>
      <c r="J31" s="302"/>
      <c r="K31" s="302"/>
      <c r="L31" s="302"/>
      <c r="M31" s="302"/>
      <c r="N31" s="302"/>
      <c r="O31" s="303"/>
      <c r="P31" s="303"/>
    </row>
    <row r="32" spans="1:34" s="16" customFormat="1" ht="33.75" customHeight="1" x14ac:dyDescent="0.25">
      <c r="A32" s="373" t="s">
        <v>176</v>
      </c>
      <c r="B32" s="373"/>
      <c r="C32" s="373"/>
      <c r="D32" s="373"/>
      <c r="E32" s="373"/>
      <c r="F32" s="373"/>
      <c r="G32" s="373"/>
      <c r="H32" s="373"/>
      <c r="I32" s="373"/>
      <c r="J32" s="373"/>
      <c r="K32" s="373"/>
      <c r="L32" s="373"/>
      <c r="M32" s="373"/>
      <c r="N32" s="373"/>
      <c r="O32" s="330"/>
      <c r="P32" s="330"/>
      <c r="Q32" s="330"/>
      <c r="R32" s="330"/>
      <c r="S32" s="330"/>
      <c r="T32" s="330"/>
      <c r="U32" s="330"/>
    </row>
    <row r="33" spans="1:27" s="16" customFormat="1" ht="22.5" customHeight="1" x14ac:dyDescent="0.25">
      <c r="A33" s="371" t="s">
        <v>177</v>
      </c>
      <c r="B33" s="371"/>
      <c r="C33" s="371"/>
      <c r="D33" s="371"/>
      <c r="E33" s="371"/>
      <c r="F33" s="371"/>
      <c r="G33" s="371"/>
      <c r="H33" s="371"/>
      <c r="I33" s="371"/>
      <c r="J33" s="371"/>
      <c r="K33" s="371"/>
      <c r="L33" s="371"/>
      <c r="M33" s="371"/>
      <c r="N33" s="371"/>
      <c r="O33" s="330"/>
      <c r="P33" s="330"/>
      <c r="Q33" s="330"/>
      <c r="R33" s="330"/>
      <c r="S33" s="330"/>
      <c r="T33" s="330"/>
      <c r="U33" s="330"/>
    </row>
    <row r="34" spans="1:27" s="16" customFormat="1" ht="11.25" customHeight="1" x14ac:dyDescent="0.25">
      <c r="A34" s="304"/>
      <c r="B34" s="305"/>
      <c r="C34" s="305"/>
      <c r="D34" s="305"/>
      <c r="E34" s="305"/>
      <c r="F34" s="305"/>
      <c r="G34" s="304"/>
      <c r="H34" s="304"/>
      <c r="I34" s="304"/>
      <c r="J34" s="304"/>
      <c r="K34" s="304"/>
      <c r="L34" s="304"/>
      <c r="M34" s="304"/>
      <c r="N34" s="304"/>
      <c r="O34" s="43"/>
      <c r="P34" s="43"/>
    </row>
    <row r="35" spans="1:27" s="198" customFormat="1" ht="11.25" customHeight="1" x14ac:dyDescent="0.2">
      <c r="A35" s="198" t="s">
        <v>162</v>
      </c>
      <c r="X35" s="208"/>
      <c r="Y35" s="208"/>
      <c r="Z35" s="208"/>
      <c r="AA35" s="208"/>
    </row>
    <row r="36" spans="1:27" ht="11.25" customHeight="1" x14ac:dyDescent="0.25">
      <c r="A36" s="336" t="s">
        <v>149</v>
      </c>
      <c r="B36" s="335"/>
      <c r="C36" s="335"/>
      <c r="D36" s="335"/>
      <c r="E36" s="335"/>
      <c r="F36" s="335"/>
      <c r="G36" s="335"/>
      <c r="H36" s="335"/>
      <c r="I36" s="335"/>
      <c r="J36" s="335"/>
      <c r="K36" s="335"/>
      <c r="L36" s="335"/>
      <c r="M36" s="335"/>
      <c r="N36" s="335"/>
    </row>
    <row r="37" spans="1:27" ht="11.25" customHeight="1" x14ac:dyDescent="0.25">
      <c r="A37" s="235" t="s">
        <v>150</v>
      </c>
      <c r="B37" s="198"/>
      <c r="C37" s="198"/>
      <c r="D37" s="198"/>
      <c r="E37" s="198"/>
      <c r="F37" s="198"/>
      <c r="G37" s="198"/>
      <c r="H37" s="198"/>
      <c r="I37" s="198"/>
      <c r="J37" s="198"/>
      <c r="K37" s="198"/>
      <c r="L37" s="198"/>
      <c r="M37" s="198"/>
      <c r="N37" s="198"/>
    </row>
    <row r="38" spans="1:27" ht="11.25" customHeight="1" x14ac:dyDescent="0.25">
      <c r="A38" s="235" t="s">
        <v>151</v>
      </c>
      <c r="B38" s="198"/>
      <c r="C38" s="198"/>
      <c r="D38" s="198"/>
      <c r="E38" s="198"/>
      <c r="F38" s="198"/>
      <c r="G38" s="198"/>
      <c r="H38" s="198"/>
      <c r="I38" s="198"/>
      <c r="J38" s="198"/>
      <c r="K38" s="198"/>
      <c r="L38" s="198"/>
      <c r="M38" s="198"/>
      <c r="N38" s="198"/>
    </row>
    <row r="39" spans="1:27" ht="11.25" customHeight="1" x14ac:dyDescent="0.25">
      <c r="A39" s="235" t="s">
        <v>152</v>
      </c>
      <c r="B39" s="198"/>
      <c r="C39" s="198"/>
      <c r="D39" s="198"/>
      <c r="E39" s="198"/>
      <c r="F39" s="198"/>
      <c r="G39" s="198"/>
      <c r="H39" s="198"/>
      <c r="I39" s="198"/>
      <c r="J39" s="198"/>
      <c r="K39" s="198"/>
      <c r="L39" s="198"/>
      <c r="M39" s="198"/>
      <c r="N39" s="198"/>
    </row>
    <row r="40" spans="1:27" ht="11.25" customHeight="1" x14ac:dyDescent="0.25">
      <c r="A40" s="235" t="str">
        <f>"-  (hyphen)  negligible"</f>
        <v>-  (hyphen)  negligible</v>
      </c>
      <c r="B40" s="198"/>
      <c r="C40" s="198"/>
      <c r="D40" s="198"/>
      <c r="E40" s="198"/>
      <c r="F40" s="198"/>
      <c r="G40" s="198"/>
      <c r="H40" s="198"/>
      <c r="I40" s="198"/>
      <c r="J40" s="198"/>
      <c r="K40" s="198"/>
      <c r="L40" s="198"/>
      <c r="M40" s="198"/>
      <c r="N40" s="198"/>
    </row>
    <row r="41" spans="1:27" ht="11.25" customHeight="1" x14ac:dyDescent="0.25">
      <c r="A41" s="198" t="s">
        <v>27</v>
      </c>
      <c r="B41" s="198"/>
      <c r="C41" s="198"/>
      <c r="D41" s="198"/>
      <c r="E41" s="198"/>
      <c r="F41" s="198"/>
      <c r="G41" s="198"/>
      <c r="H41" s="198"/>
      <c r="I41" s="198"/>
      <c r="J41" s="198"/>
      <c r="K41" s="198"/>
      <c r="L41" s="198"/>
      <c r="M41" s="198"/>
      <c r="N41" s="198"/>
    </row>
    <row r="42" spans="1:27" ht="11.25" customHeight="1" x14ac:dyDescent="0.25"/>
    <row r="43" spans="1:27" ht="22.5" customHeight="1" x14ac:dyDescent="0.25"/>
    <row r="44" spans="1:27" ht="33.75" customHeight="1" x14ac:dyDescent="0.25"/>
    <row r="45" spans="1:27" ht="11.25" customHeight="1" x14ac:dyDescent="0.25"/>
    <row r="47" spans="1:27" ht="11.25" customHeight="1" x14ac:dyDescent="0.25"/>
    <row r="48" spans="1:27" ht="11.25" customHeight="1" x14ac:dyDescent="0.25"/>
    <row r="49" ht="11.25" customHeight="1" x14ac:dyDescent="0.25"/>
  </sheetData>
  <sheetProtection algorithmName="SHA-512" hashValue="oNyxK2AE7TaAl9SG4Te5h0eKAQav5fVjGxziNzqOFjoFT9aP4h+/oqa2ZYcfpRpGDxPhNWFik94k3QCxtaYJkQ==" saltValue="CHYEKohDzwagjAx8pHkiig==" spinCount="100000" sheet="1" objects="1" scenarios="1" selectLockedCells="1"/>
  <mergeCells count="13">
    <mergeCell ref="A3:P3"/>
    <mergeCell ref="C12:F12"/>
    <mergeCell ref="H12:K12"/>
    <mergeCell ref="M12:P12"/>
    <mergeCell ref="R12:U12"/>
    <mergeCell ref="A7:U8"/>
    <mergeCell ref="A33:U33"/>
    <mergeCell ref="A36:N36"/>
    <mergeCell ref="A27:U27"/>
    <mergeCell ref="A28:U28"/>
    <mergeCell ref="A29:U29"/>
    <mergeCell ref="A30:U30"/>
    <mergeCell ref="A32:U32"/>
  </mergeCells>
  <dataValidations count="1">
    <dataValidation type="list" allowBlank="1" showInputMessage="1" showErrorMessage="1" sqref="U10">
      <formula1>$AB$1:$AB$3</formula1>
    </dataValidation>
  </dataValidations>
  <hyperlinks>
    <hyperlink ref="A2" location="INDEX!A1" display="Back to index"/>
    <hyperlink ref="A31" r:id="rId1"/>
  </hyperlinks>
  <pageMargins left="0.7" right="0.7" top="0.75" bottom="0.75" header="0.3" footer="0.3"/>
  <pageSetup paperSize="9" scale="3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P48"/>
  <sheetViews>
    <sheetView workbookViewId="0">
      <selection activeCell="R20" sqref="R20"/>
    </sheetView>
  </sheetViews>
  <sheetFormatPr defaultColWidth="9" defaultRowHeight="15" x14ac:dyDescent="0.25"/>
  <cols>
    <col min="1" max="1" width="9" style="14"/>
    <col min="2" max="2" width="56" style="14" customWidth="1"/>
    <col min="3" max="4" width="9" style="14"/>
    <col min="5" max="6" width="9" style="168"/>
    <col min="7" max="8" width="9" style="14"/>
    <col min="9" max="10" width="9" style="168"/>
    <col min="11" max="12" width="9" style="14"/>
    <col min="13" max="14" width="9" style="168"/>
    <col min="15" max="16384" width="9" style="14"/>
  </cols>
  <sheetData>
    <row r="1" spans="1:16" x14ac:dyDescent="0.25">
      <c r="A1" s="81" t="s">
        <v>90</v>
      </c>
      <c r="B1" s="86"/>
    </row>
    <row r="2" spans="1:16" x14ac:dyDescent="0.25">
      <c r="A2" s="179" t="s">
        <v>20</v>
      </c>
      <c r="B2" s="55"/>
      <c r="C2" s="55"/>
      <c r="D2" s="55"/>
      <c r="E2" s="100"/>
      <c r="F2" s="100"/>
      <c r="G2" s="16"/>
      <c r="H2" s="16"/>
      <c r="I2" s="98"/>
      <c r="J2" s="98"/>
      <c r="K2" s="16"/>
      <c r="L2" s="16"/>
      <c r="M2" s="98"/>
      <c r="N2" s="98"/>
    </row>
    <row r="3" spans="1:16" ht="14.25" customHeight="1" x14ac:dyDescent="0.25">
      <c r="A3" s="16"/>
      <c r="B3" s="16"/>
      <c r="C3" s="346" t="s">
        <v>40</v>
      </c>
      <c r="D3" s="347"/>
      <c r="E3" s="347"/>
      <c r="F3" s="348"/>
      <c r="G3" s="346" t="s">
        <v>25</v>
      </c>
      <c r="H3" s="347"/>
      <c r="I3" s="347"/>
      <c r="J3" s="348"/>
      <c r="K3" s="346" t="s">
        <v>85</v>
      </c>
      <c r="L3" s="347"/>
      <c r="M3" s="347"/>
      <c r="N3" s="348"/>
    </row>
    <row r="4" spans="1:16" ht="33.75" x14ac:dyDescent="0.25">
      <c r="A4" s="26"/>
      <c r="B4" s="58"/>
      <c r="C4" s="59" t="s">
        <v>41</v>
      </c>
      <c r="D4" s="60" t="s">
        <v>65</v>
      </c>
      <c r="E4" s="61" t="s">
        <v>43</v>
      </c>
      <c r="F4" s="61" t="s">
        <v>44</v>
      </c>
      <c r="G4" s="59" t="s">
        <v>41</v>
      </c>
      <c r="H4" s="60" t="s">
        <v>65</v>
      </c>
      <c r="I4" s="61" t="s">
        <v>43</v>
      </c>
      <c r="J4" s="61" t="s">
        <v>44</v>
      </c>
      <c r="K4" s="59" t="s">
        <v>41</v>
      </c>
      <c r="L4" s="60" t="s">
        <v>65</v>
      </c>
      <c r="M4" s="61" t="s">
        <v>43</v>
      </c>
      <c r="N4" s="61" t="s">
        <v>44</v>
      </c>
    </row>
    <row r="5" spans="1:16" x14ac:dyDescent="0.25">
      <c r="A5" s="37"/>
      <c r="B5" s="55"/>
      <c r="C5" s="55"/>
      <c r="D5" s="55"/>
      <c r="E5" s="100"/>
      <c r="F5" s="100"/>
      <c r="G5" s="55"/>
      <c r="H5" s="55"/>
      <c r="I5" s="100"/>
      <c r="J5" s="100"/>
      <c r="K5" s="55"/>
      <c r="L5" s="55"/>
      <c r="M5" s="100"/>
      <c r="N5" s="100"/>
    </row>
    <row r="6" spans="1:16" x14ac:dyDescent="0.25">
      <c r="A6" s="37" t="s">
        <v>59</v>
      </c>
      <c r="B6" s="55"/>
      <c r="C6" s="63">
        <v>2730</v>
      </c>
      <c r="D6" s="161">
        <v>-0.64</v>
      </c>
      <c r="E6" s="162">
        <v>-0.68</v>
      </c>
      <c r="F6" s="162">
        <v>-0.6</v>
      </c>
      <c r="G6" s="63">
        <v>500480</v>
      </c>
      <c r="H6" s="161">
        <v>0</v>
      </c>
      <c r="I6" s="162">
        <v>0</v>
      </c>
      <c r="J6" s="162">
        <v>0.01</v>
      </c>
      <c r="K6" s="68" t="s">
        <v>56</v>
      </c>
      <c r="L6" s="68" t="s">
        <v>56</v>
      </c>
      <c r="M6" s="68" t="s">
        <v>56</v>
      </c>
      <c r="N6" s="68" t="s">
        <v>56</v>
      </c>
      <c r="P6" s="20"/>
    </row>
    <row r="7" spans="1:16" x14ac:dyDescent="0.25">
      <c r="A7" s="37"/>
      <c r="B7" s="55"/>
      <c r="C7" s="55"/>
      <c r="D7" s="161"/>
      <c r="E7" s="162"/>
      <c r="F7" s="100"/>
      <c r="G7" s="55"/>
      <c r="H7" s="161"/>
      <c r="I7" s="162"/>
      <c r="J7" s="100"/>
      <c r="K7" s="55"/>
      <c r="L7" s="55"/>
      <c r="M7" s="55"/>
      <c r="N7" s="55"/>
      <c r="P7" s="20"/>
    </row>
    <row r="8" spans="1:16" x14ac:dyDescent="0.25">
      <c r="A8" s="37" t="s">
        <v>86</v>
      </c>
      <c r="B8" s="55"/>
      <c r="C8" s="63">
        <v>3770</v>
      </c>
      <c r="D8" s="161">
        <v>-1.1399999999999999</v>
      </c>
      <c r="E8" s="162">
        <v>-1.17</v>
      </c>
      <c r="F8" s="162">
        <v>-1.1000000000000001</v>
      </c>
      <c r="G8" s="63">
        <v>517110</v>
      </c>
      <c r="H8" s="161">
        <v>-0.08</v>
      </c>
      <c r="I8" s="162">
        <v>-0.08</v>
      </c>
      <c r="J8" s="162">
        <v>-7.0000000000000007E-2</v>
      </c>
      <c r="K8" s="63">
        <v>12620</v>
      </c>
      <c r="L8" s="188">
        <v>-1.45</v>
      </c>
      <c r="M8" s="188">
        <v>-1.47</v>
      </c>
      <c r="N8" s="188">
        <v>-1.43</v>
      </c>
      <c r="P8" s="20"/>
    </row>
    <row r="9" spans="1:16" x14ac:dyDescent="0.25">
      <c r="A9" s="66"/>
      <c r="B9" s="55"/>
      <c r="C9" s="63"/>
      <c r="D9" s="161"/>
      <c r="E9" s="162"/>
      <c r="F9" s="102"/>
      <c r="G9" s="63"/>
      <c r="H9" s="161"/>
      <c r="I9" s="162"/>
      <c r="J9" s="102"/>
      <c r="K9" s="63"/>
      <c r="L9" s="63"/>
      <c r="M9" s="63"/>
      <c r="N9" s="63"/>
      <c r="P9" s="20"/>
    </row>
    <row r="10" spans="1:16" x14ac:dyDescent="0.25">
      <c r="A10" s="67" t="s">
        <v>45</v>
      </c>
      <c r="B10" s="55"/>
      <c r="C10" s="63">
        <v>1490</v>
      </c>
      <c r="D10" s="161">
        <v>-0.73</v>
      </c>
      <c r="E10" s="162">
        <v>-0.78</v>
      </c>
      <c r="F10" s="162">
        <v>-0.68</v>
      </c>
      <c r="G10" s="63">
        <v>437150</v>
      </c>
      <c r="H10" s="161">
        <v>0.05</v>
      </c>
      <c r="I10" s="162">
        <v>0.04</v>
      </c>
      <c r="J10" s="162">
        <v>0.05</v>
      </c>
      <c r="K10" s="68" t="s">
        <v>56</v>
      </c>
      <c r="L10" s="68" t="s">
        <v>56</v>
      </c>
      <c r="M10" s="68" t="s">
        <v>56</v>
      </c>
      <c r="N10" s="68" t="s">
        <v>56</v>
      </c>
      <c r="P10" s="20"/>
    </row>
    <row r="11" spans="1:16" x14ac:dyDescent="0.25">
      <c r="A11" s="67"/>
      <c r="B11" s="55"/>
      <c r="C11" s="68"/>
      <c r="D11" s="164"/>
      <c r="E11" s="162"/>
      <c r="F11" s="165"/>
      <c r="G11" s="68"/>
      <c r="H11" s="164"/>
      <c r="I11" s="162"/>
      <c r="J11" s="165"/>
      <c r="K11" s="68"/>
      <c r="L11" s="68"/>
      <c r="M11" s="68"/>
      <c r="N11" s="159"/>
      <c r="P11" s="20"/>
    </row>
    <row r="12" spans="1:16" x14ac:dyDescent="0.25">
      <c r="A12" s="67" t="s">
        <v>75</v>
      </c>
      <c r="B12" s="55"/>
      <c r="C12" s="63">
        <v>2260</v>
      </c>
      <c r="D12" s="161">
        <v>-1.39</v>
      </c>
      <c r="E12" s="162">
        <v>-1.43</v>
      </c>
      <c r="F12" s="162">
        <v>-1.34</v>
      </c>
      <c r="G12" s="63">
        <v>78970</v>
      </c>
      <c r="H12" s="161">
        <v>-0.74</v>
      </c>
      <c r="I12" s="162">
        <v>-0.74</v>
      </c>
      <c r="J12" s="162">
        <v>-0.73</v>
      </c>
      <c r="K12" s="68" t="s">
        <v>56</v>
      </c>
      <c r="L12" s="68" t="s">
        <v>56</v>
      </c>
      <c r="M12" s="68" t="s">
        <v>56</v>
      </c>
      <c r="N12" s="68" t="s">
        <v>56</v>
      </c>
      <c r="P12" s="20"/>
    </row>
    <row r="13" spans="1:16" x14ac:dyDescent="0.25">
      <c r="A13" s="67"/>
      <c r="B13" s="67" t="s">
        <v>87</v>
      </c>
      <c r="C13" s="63">
        <v>1080</v>
      </c>
      <c r="D13" s="161">
        <v>-1.58</v>
      </c>
      <c r="E13" s="162">
        <v>-1.64</v>
      </c>
      <c r="F13" s="162">
        <v>-1.52</v>
      </c>
      <c r="G13" s="63">
        <v>19620</v>
      </c>
      <c r="H13" s="161">
        <v>-1.1000000000000001</v>
      </c>
      <c r="I13" s="162">
        <v>-1.1200000000000001</v>
      </c>
      <c r="J13" s="162">
        <v>-1.0900000000000001</v>
      </c>
      <c r="K13" s="68" t="s">
        <v>56</v>
      </c>
      <c r="L13" s="68" t="s">
        <v>56</v>
      </c>
      <c r="M13" s="68" t="s">
        <v>56</v>
      </c>
      <c r="N13" s="68" t="s">
        <v>56</v>
      </c>
      <c r="P13" s="20"/>
    </row>
    <row r="14" spans="1:16" x14ac:dyDescent="0.25">
      <c r="A14" s="67"/>
      <c r="B14" s="67" t="s">
        <v>88</v>
      </c>
      <c r="C14" s="63">
        <v>1180</v>
      </c>
      <c r="D14" s="161">
        <v>-1.21</v>
      </c>
      <c r="E14" s="162">
        <v>-1.27</v>
      </c>
      <c r="F14" s="162">
        <v>-1.1499999999999999</v>
      </c>
      <c r="G14" s="63">
        <v>59350</v>
      </c>
      <c r="H14" s="161">
        <v>-0.61</v>
      </c>
      <c r="I14" s="162">
        <v>-0.62</v>
      </c>
      <c r="J14" s="162">
        <v>-0.61</v>
      </c>
      <c r="K14" s="68" t="s">
        <v>56</v>
      </c>
      <c r="L14" s="68" t="s">
        <v>56</v>
      </c>
      <c r="M14" s="68" t="s">
        <v>56</v>
      </c>
      <c r="N14" s="68" t="s">
        <v>56</v>
      </c>
      <c r="P14" s="20"/>
    </row>
    <row r="15" spans="1:16" x14ac:dyDescent="0.25">
      <c r="A15" s="72"/>
      <c r="B15" s="72"/>
      <c r="C15" s="73"/>
      <c r="D15" s="73"/>
      <c r="E15" s="73"/>
      <c r="F15" s="73"/>
      <c r="G15" s="73"/>
      <c r="H15" s="73"/>
      <c r="I15" s="73"/>
      <c r="J15" s="73"/>
      <c r="K15" s="73"/>
      <c r="L15" s="73"/>
      <c r="M15" s="73"/>
      <c r="N15" s="73"/>
      <c r="P15" s="20"/>
    </row>
    <row r="16" spans="1:16" x14ac:dyDescent="0.25">
      <c r="A16" s="74"/>
      <c r="B16" s="31"/>
      <c r="C16" s="31"/>
      <c r="D16" s="31"/>
      <c r="E16" s="167"/>
      <c r="F16" s="167"/>
      <c r="G16" s="16"/>
      <c r="H16" s="16"/>
      <c r="I16" s="98"/>
      <c r="J16" s="98"/>
      <c r="K16" s="16"/>
      <c r="L16" s="16"/>
      <c r="M16" s="98"/>
      <c r="N16" s="49" t="s">
        <v>62</v>
      </c>
      <c r="P16" s="20"/>
    </row>
    <row r="17" spans="1:16" x14ac:dyDescent="0.25">
      <c r="P17" s="20"/>
    </row>
    <row r="18" spans="1:16" x14ac:dyDescent="0.25">
      <c r="A18" s="179" t="s">
        <v>19</v>
      </c>
      <c r="B18" s="55"/>
      <c r="C18" s="55"/>
      <c r="D18" s="55"/>
      <c r="E18" s="100"/>
      <c r="F18" s="100"/>
      <c r="G18" s="16"/>
      <c r="H18" s="16"/>
      <c r="I18" s="98"/>
      <c r="J18" s="98"/>
      <c r="K18" s="16"/>
      <c r="L18" s="16"/>
      <c r="M18" s="98"/>
      <c r="N18" s="98"/>
      <c r="P18" s="20"/>
    </row>
    <row r="19" spans="1:16" ht="14.25" customHeight="1" x14ac:dyDescent="0.25">
      <c r="A19" s="16"/>
      <c r="B19" s="16"/>
      <c r="C19" s="346" t="s">
        <v>40</v>
      </c>
      <c r="D19" s="347"/>
      <c r="E19" s="347"/>
      <c r="F19" s="348"/>
      <c r="G19" s="346" t="s">
        <v>25</v>
      </c>
      <c r="H19" s="347"/>
      <c r="I19" s="347"/>
      <c r="J19" s="348"/>
      <c r="K19" s="346" t="s">
        <v>85</v>
      </c>
      <c r="L19" s="347"/>
      <c r="M19" s="347"/>
      <c r="N19" s="348"/>
      <c r="P19" s="20"/>
    </row>
    <row r="20" spans="1:16" ht="33.75" x14ac:dyDescent="0.25">
      <c r="A20" s="26"/>
      <c r="B20" s="58"/>
      <c r="C20" s="59" t="s">
        <v>41</v>
      </c>
      <c r="D20" s="60" t="s">
        <v>65</v>
      </c>
      <c r="E20" s="61" t="s">
        <v>43</v>
      </c>
      <c r="F20" s="61" t="s">
        <v>44</v>
      </c>
      <c r="G20" s="59" t="s">
        <v>41</v>
      </c>
      <c r="H20" s="60" t="s">
        <v>65</v>
      </c>
      <c r="I20" s="61" t="s">
        <v>43</v>
      </c>
      <c r="J20" s="61" t="s">
        <v>44</v>
      </c>
      <c r="K20" s="59" t="s">
        <v>41</v>
      </c>
      <c r="L20" s="60" t="s">
        <v>65</v>
      </c>
      <c r="M20" s="61" t="s">
        <v>43</v>
      </c>
      <c r="N20" s="61" t="s">
        <v>44</v>
      </c>
      <c r="P20" s="20"/>
    </row>
    <row r="21" spans="1:16" x14ac:dyDescent="0.25">
      <c r="A21" s="37"/>
      <c r="B21" s="55"/>
      <c r="C21" s="55"/>
      <c r="D21" s="55"/>
      <c r="E21" s="100"/>
      <c r="F21" s="100"/>
      <c r="G21" s="55"/>
      <c r="H21" s="55"/>
      <c r="I21" s="100"/>
      <c r="J21" s="100"/>
      <c r="K21" s="55"/>
      <c r="L21" s="55"/>
      <c r="M21" s="100"/>
      <c r="N21" s="100"/>
      <c r="P21" s="20"/>
    </row>
    <row r="22" spans="1:16" x14ac:dyDescent="0.25">
      <c r="A22" s="37" t="s">
        <v>59</v>
      </c>
      <c r="B22" s="55"/>
      <c r="C22" s="63">
        <v>1260</v>
      </c>
      <c r="D22" s="161">
        <v>-0.68</v>
      </c>
      <c r="E22" s="162">
        <v>-0.74</v>
      </c>
      <c r="F22" s="162">
        <v>-0.62</v>
      </c>
      <c r="G22" s="63">
        <v>252670</v>
      </c>
      <c r="H22" s="161">
        <v>-0.12</v>
      </c>
      <c r="I22" s="162">
        <v>-0.13</v>
      </c>
      <c r="J22" s="162">
        <v>-0.12</v>
      </c>
      <c r="K22" s="68" t="s">
        <v>56</v>
      </c>
      <c r="L22" s="68" t="s">
        <v>56</v>
      </c>
      <c r="M22" s="163" t="s">
        <v>56</v>
      </c>
      <c r="N22" s="163" t="s">
        <v>56</v>
      </c>
      <c r="P22" s="20"/>
    </row>
    <row r="23" spans="1:16" x14ac:dyDescent="0.25">
      <c r="A23" s="37"/>
      <c r="B23" s="55"/>
      <c r="C23" s="55"/>
      <c r="D23" s="161"/>
      <c r="E23" s="162"/>
      <c r="F23" s="100"/>
      <c r="G23" s="55"/>
      <c r="H23" s="161"/>
      <c r="I23" s="162"/>
      <c r="J23" s="100"/>
      <c r="K23" s="55"/>
      <c r="L23" s="55"/>
      <c r="M23" s="100"/>
      <c r="N23" s="100"/>
      <c r="P23" s="20"/>
    </row>
    <row r="24" spans="1:16" x14ac:dyDescent="0.25">
      <c r="A24" s="37" t="s">
        <v>86</v>
      </c>
      <c r="B24" s="55"/>
      <c r="C24" s="63">
        <v>1950</v>
      </c>
      <c r="D24" s="161">
        <v>-1.26</v>
      </c>
      <c r="E24" s="162">
        <v>-1.31</v>
      </c>
      <c r="F24" s="162">
        <v>-1.22</v>
      </c>
      <c r="G24" s="63">
        <v>264260</v>
      </c>
      <c r="H24" s="161">
        <v>-0.23</v>
      </c>
      <c r="I24" s="162">
        <v>-0.23</v>
      </c>
      <c r="J24" s="162">
        <v>-0.22</v>
      </c>
      <c r="K24" s="68" t="s">
        <v>56</v>
      </c>
      <c r="L24" s="68" t="s">
        <v>56</v>
      </c>
      <c r="M24" s="163" t="s">
        <v>56</v>
      </c>
      <c r="N24" s="163" t="s">
        <v>56</v>
      </c>
      <c r="P24" s="20"/>
    </row>
    <row r="25" spans="1:16" x14ac:dyDescent="0.25">
      <c r="A25" s="66"/>
      <c r="B25" s="55"/>
      <c r="C25" s="63"/>
      <c r="D25" s="161"/>
      <c r="E25" s="162"/>
      <c r="F25" s="102"/>
      <c r="G25" s="63"/>
      <c r="H25" s="161"/>
      <c r="I25" s="162"/>
      <c r="J25" s="102"/>
      <c r="K25" s="63"/>
      <c r="L25" s="63"/>
      <c r="M25" s="102"/>
      <c r="N25" s="102"/>
      <c r="P25" s="20"/>
    </row>
    <row r="26" spans="1:16" x14ac:dyDescent="0.25">
      <c r="A26" s="67" t="s">
        <v>45</v>
      </c>
      <c r="B26" s="55"/>
      <c r="C26" s="63">
        <v>590</v>
      </c>
      <c r="D26" s="161">
        <v>-0.8</v>
      </c>
      <c r="E26" s="162">
        <v>-0.89</v>
      </c>
      <c r="F26" s="162">
        <v>-0.72</v>
      </c>
      <c r="G26" s="63">
        <v>213160</v>
      </c>
      <c r="H26" s="161">
        <v>-0.08</v>
      </c>
      <c r="I26" s="162">
        <v>-0.09</v>
      </c>
      <c r="J26" s="162">
        <v>-0.08</v>
      </c>
      <c r="K26" s="68" t="s">
        <v>56</v>
      </c>
      <c r="L26" s="68" t="s">
        <v>56</v>
      </c>
      <c r="M26" s="163" t="s">
        <v>56</v>
      </c>
      <c r="N26" s="163" t="s">
        <v>56</v>
      </c>
      <c r="P26" s="20"/>
    </row>
    <row r="27" spans="1:16" x14ac:dyDescent="0.25">
      <c r="A27" s="67"/>
      <c r="B27" s="55"/>
      <c r="C27" s="68"/>
      <c r="D27" s="164"/>
      <c r="E27" s="162"/>
      <c r="F27" s="165"/>
      <c r="G27" s="68"/>
      <c r="H27" s="164"/>
      <c r="I27" s="162"/>
      <c r="J27" s="165"/>
      <c r="K27" s="68"/>
      <c r="L27" s="68"/>
      <c r="M27" s="163"/>
      <c r="N27" s="166"/>
      <c r="P27" s="20"/>
    </row>
    <row r="28" spans="1:16" x14ac:dyDescent="0.25">
      <c r="A28" s="67" t="s">
        <v>75</v>
      </c>
      <c r="B28" s="55"/>
      <c r="C28" s="63">
        <v>1340</v>
      </c>
      <c r="D28" s="161">
        <v>-1.45</v>
      </c>
      <c r="E28" s="162">
        <v>-1.5</v>
      </c>
      <c r="F28" s="162">
        <v>-1.39</v>
      </c>
      <c r="G28" s="63">
        <v>50630</v>
      </c>
      <c r="H28" s="161">
        <v>-0.81</v>
      </c>
      <c r="I28" s="162">
        <v>-0.82</v>
      </c>
      <c r="J28" s="162">
        <v>-0.8</v>
      </c>
      <c r="K28" s="68" t="s">
        <v>56</v>
      </c>
      <c r="L28" s="68" t="s">
        <v>56</v>
      </c>
      <c r="M28" s="163" t="s">
        <v>56</v>
      </c>
      <c r="N28" s="163" t="s">
        <v>56</v>
      </c>
      <c r="P28" s="20"/>
    </row>
    <row r="29" spans="1:16" x14ac:dyDescent="0.25">
      <c r="A29" s="67"/>
      <c r="B29" s="67" t="s">
        <v>87</v>
      </c>
      <c r="C29" s="63">
        <v>760</v>
      </c>
      <c r="D29" s="161">
        <v>-1.6</v>
      </c>
      <c r="E29" s="162">
        <v>-1.68</v>
      </c>
      <c r="F29" s="162">
        <v>-1.53</v>
      </c>
      <c r="G29" s="63">
        <v>14480</v>
      </c>
      <c r="H29" s="161">
        <v>-1.1299999999999999</v>
      </c>
      <c r="I29" s="162">
        <v>-1.1399999999999999</v>
      </c>
      <c r="J29" s="162">
        <v>-1.1100000000000001</v>
      </c>
      <c r="K29" s="68" t="s">
        <v>56</v>
      </c>
      <c r="L29" s="68" t="s">
        <v>56</v>
      </c>
      <c r="M29" s="163" t="s">
        <v>56</v>
      </c>
      <c r="N29" s="163" t="s">
        <v>56</v>
      </c>
      <c r="P29" s="20"/>
    </row>
    <row r="30" spans="1:16" x14ac:dyDescent="0.25">
      <c r="A30" s="67"/>
      <c r="B30" s="67" t="s">
        <v>88</v>
      </c>
      <c r="C30" s="63">
        <v>580</v>
      </c>
      <c r="D30" s="161">
        <v>-1.24</v>
      </c>
      <c r="E30" s="162">
        <v>-1.33</v>
      </c>
      <c r="F30" s="162">
        <v>-1.1599999999999999</v>
      </c>
      <c r="G30" s="63">
        <v>36160</v>
      </c>
      <c r="H30" s="161">
        <v>-0.69</v>
      </c>
      <c r="I30" s="162">
        <v>-0.7</v>
      </c>
      <c r="J30" s="162">
        <v>-0.68</v>
      </c>
      <c r="K30" s="68" t="s">
        <v>56</v>
      </c>
      <c r="L30" s="68" t="s">
        <v>56</v>
      </c>
      <c r="M30" s="163" t="s">
        <v>56</v>
      </c>
      <c r="N30" s="163" t="s">
        <v>56</v>
      </c>
      <c r="P30" s="20"/>
    </row>
    <row r="31" spans="1:16" x14ac:dyDescent="0.25">
      <c r="A31" s="72"/>
      <c r="B31" s="72"/>
      <c r="C31" s="73"/>
      <c r="D31" s="73"/>
      <c r="E31" s="73"/>
      <c r="F31" s="73"/>
      <c r="G31" s="73"/>
      <c r="H31" s="73"/>
      <c r="I31" s="73"/>
      <c r="J31" s="73"/>
      <c r="K31" s="73"/>
      <c r="L31" s="73"/>
      <c r="M31" s="73"/>
      <c r="N31" s="73"/>
      <c r="P31" s="20"/>
    </row>
    <row r="32" spans="1:16" x14ac:dyDescent="0.25">
      <c r="A32" s="74"/>
      <c r="B32" s="31"/>
      <c r="C32" s="31"/>
      <c r="D32" s="31"/>
      <c r="E32" s="167"/>
      <c r="F32" s="167"/>
      <c r="G32" s="16"/>
      <c r="H32" s="16"/>
      <c r="I32" s="98"/>
      <c r="J32" s="98"/>
      <c r="K32" s="16"/>
      <c r="L32" s="16"/>
      <c r="M32" s="98"/>
      <c r="N32" s="49" t="s">
        <v>62</v>
      </c>
      <c r="P32" s="20"/>
    </row>
    <row r="33" spans="1:16" x14ac:dyDescent="0.25">
      <c r="P33" s="20"/>
    </row>
    <row r="34" spans="1:16" x14ac:dyDescent="0.25">
      <c r="A34" s="179" t="s">
        <v>18</v>
      </c>
      <c r="B34" s="55"/>
      <c r="C34" s="55"/>
      <c r="D34" s="55"/>
      <c r="E34" s="100"/>
      <c r="F34" s="100"/>
      <c r="G34" s="16"/>
      <c r="H34" s="16"/>
      <c r="I34" s="98"/>
      <c r="J34" s="98"/>
      <c r="K34" s="16"/>
      <c r="L34" s="16"/>
      <c r="M34" s="98"/>
      <c r="N34" s="98"/>
      <c r="P34" s="20"/>
    </row>
    <row r="35" spans="1:16" ht="14.25" customHeight="1" x14ac:dyDescent="0.25">
      <c r="A35" s="16"/>
      <c r="B35" s="16"/>
      <c r="C35" s="346" t="s">
        <v>40</v>
      </c>
      <c r="D35" s="347"/>
      <c r="E35" s="347"/>
      <c r="F35" s="348"/>
      <c r="G35" s="346" t="s">
        <v>25</v>
      </c>
      <c r="H35" s="347"/>
      <c r="I35" s="347"/>
      <c r="J35" s="348"/>
      <c r="K35" s="346" t="s">
        <v>85</v>
      </c>
      <c r="L35" s="347"/>
      <c r="M35" s="347"/>
      <c r="N35" s="348"/>
      <c r="P35" s="20"/>
    </row>
    <row r="36" spans="1:16" ht="33.75" x14ac:dyDescent="0.25">
      <c r="A36" s="26"/>
      <c r="B36" s="58"/>
      <c r="C36" s="59" t="s">
        <v>41</v>
      </c>
      <c r="D36" s="60" t="s">
        <v>65</v>
      </c>
      <c r="E36" s="61" t="s">
        <v>43</v>
      </c>
      <c r="F36" s="61" t="s">
        <v>44</v>
      </c>
      <c r="G36" s="59" t="s">
        <v>41</v>
      </c>
      <c r="H36" s="60" t="s">
        <v>65</v>
      </c>
      <c r="I36" s="61" t="s">
        <v>43</v>
      </c>
      <c r="J36" s="61" t="s">
        <v>44</v>
      </c>
      <c r="K36" s="59" t="s">
        <v>41</v>
      </c>
      <c r="L36" s="60" t="s">
        <v>65</v>
      </c>
      <c r="M36" s="61" t="s">
        <v>43</v>
      </c>
      <c r="N36" s="61" t="s">
        <v>44</v>
      </c>
      <c r="P36" s="20"/>
    </row>
    <row r="37" spans="1:16" x14ac:dyDescent="0.25">
      <c r="A37" s="37"/>
      <c r="B37" s="55"/>
      <c r="C37" s="55"/>
      <c r="D37" s="55"/>
      <c r="E37" s="100"/>
      <c r="F37" s="100"/>
      <c r="G37" s="55"/>
      <c r="H37" s="55"/>
      <c r="I37" s="100"/>
      <c r="J37" s="100"/>
      <c r="K37" s="55"/>
      <c r="L37" s="55"/>
      <c r="M37" s="100"/>
      <c r="N37" s="100"/>
      <c r="P37" s="20"/>
    </row>
    <row r="38" spans="1:16" x14ac:dyDescent="0.25">
      <c r="A38" s="37" t="s">
        <v>59</v>
      </c>
      <c r="B38" s="55"/>
      <c r="C38" s="63">
        <v>1470</v>
      </c>
      <c r="D38" s="161">
        <v>-0.6</v>
      </c>
      <c r="E38" s="162">
        <v>-0.65</v>
      </c>
      <c r="F38" s="162">
        <v>-0.55000000000000004</v>
      </c>
      <c r="G38" s="63">
        <v>247810</v>
      </c>
      <c r="H38" s="161">
        <v>0.13</v>
      </c>
      <c r="I38" s="162">
        <v>0.13</v>
      </c>
      <c r="J38" s="162">
        <v>0.14000000000000001</v>
      </c>
      <c r="K38" s="68" t="s">
        <v>56</v>
      </c>
      <c r="L38" s="68" t="s">
        <v>56</v>
      </c>
      <c r="M38" s="163" t="s">
        <v>56</v>
      </c>
      <c r="N38" s="163" t="s">
        <v>56</v>
      </c>
      <c r="P38" s="20"/>
    </row>
    <row r="39" spans="1:16" x14ac:dyDescent="0.25">
      <c r="A39" s="37"/>
      <c r="B39" s="55"/>
      <c r="C39" s="55"/>
      <c r="D39" s="161"/>
      <c r="E39" s="162"/>
      <c r="F39" s="100"/>
      <c r="G39" s="55"/>
      <c r="H39" s="161"/>
      <c r="I39" s="162"/>
      <c r="J39" s="100"/>
      <c r="K39" s="55"/>
      <c r="L39" s="55"/>
      <c r="M39" s="100"/>
      <c r="N39" s="100"/>
      <c r="P39" s="20"/>
    </row>
    <row r="40" spans="1:16" x14ac:dyDescent="0.25">
      <c r="A40" s="37" t="s">
        <v>86</v>
      </c>
      <c r="B40" s="55"/>
      <c r="C40" s="63">
        <v>1830</v>
      </c>
      <c r="D40" s="161">
        <v>-1.01</v>
      </c>
      <c r="E40" s="162">
        <v>-1.06</v>
      </c>
      <c r="F40" s="162">
        <v>-0.96</v>
      </c>
      <c r="G40" s="63">
        <v>252850</v>
      </c>
      <c r="H40" s="161">
        <v>0.08</v>
      </c>
      <c r="I40" s="162">
        <v>0.08</v>
      </c>
      <c r="J40" s="162">
        <v>0.08</v>
      </c>
      <c r="K40" s="68" t="s">
        <v>56</v>
      </c>
      <c r="L40" s="68" t="s">
        <v>56</v>
      </c>
      <c r="M40" s="163" t="s">
        <v>56</v>
      </c>
      <c r="N40" s="163" t="s">
        <v>56</v>
      </c>
      <c r="P40" s="20"/>
    </row>
    <row r="41" spans="1:16" x14ac:dyDescent="0.25">
      <c r="A41" s="66"/>
      <c r="B41" s="55"/>
      <c r="C41" s="63"/>
      <c r="D41" s="161"/>
      <c r="E41" s="162"/>
      <c r="F41" s="102"/>
      <c r="G41" s="63"/>
      <c r="H41" s="161"/>
      <c r="I41" s="162"/>
      <c r="J41" s="102"/>
      <c r="K41" s="63"/>
      <c r="L41" s="63"/>
      <c r="M41" s="102"/>
      <c r="N41" s="102"/>
      <c r="P41" s="20"/>
    </row>
    <row r="42" spans="1:16" x14ac:dyDescent="0.25">
      <c r="A42" s="67" t="s">
        <v>45</v>
      </c>
      <c r="B42" s="55"/>
      <c r="C42" s="63">
        <v>900</v>
      </c>
      <c r="D42" s="161">
        <v>-0.68</v>
      </c>
      <c r="E42" s="162">
        <v>-0.75</v>
      </c>
      <c r="F42" s="162">
        <v>-0.61</v>
      </c>
      <c r="G42" s="63">
        <v>223990</v>
      </c>
      <c r="H42" s="161">
        <v>0.17</v>
      </c>
      <c r="I42" s="162">
        <v>0.17</v>
      </c>
      <c r="J42" s="162">
        <v>0.17</v>
      </c>
      <c r="K42" s="68" t="s">
        <v>56</v>
      </c>
      <c r="L42" s="68" t="s">
        <v>56</v>
      </c>
      <c r="M42" s="163" t="s">
        <v>56</v>
      </c>
      <c r="N42" s="163" t="s">
        <v>56</v>
      </c>
      <c r="P42" s="20"/>
    </row>
    <row r="43" spans="1:16" x14ac:dyDescent="0.25">
      <c r="A43" s="67"/>
      <c r="B43" s="55"/>
      <c r="C43" s="68"/>
      <c r="D43" s="164"/>
      <c r="E43" s="162"/>
      <c r="F43" s="165"/>
      <c r="G43" s="68"/>
      <c r="H43" s="164"/>
      <c r="I43" s="162"/>
      <c r="J43" s="165"/>
      <c r="K43" s="68"/>
      <c r="L43" s="68"/>
      <c r="M43" s="163"/>
      <c r="N43" s="166"/>
      <c r="P43" s="20"/>
    </row>
    <row r="44" spans="1:16" x14ac:dyDescent="0.25">
      <c r="A44" s="67" t="s">
        <v>75</v>
      </c>
      <c r="B44" s="55"/>
      <c r="C44" s="63">
        <v>920</v>
      </c>
      <c r="D44" s="161">
        <v>-1.29</v>
      </c>
      <c r="E44" s="162">
        <v>-1.36</v>
      </c>
      <c r="F44" s="162">
        <v>-1.23</v>
      </c>
      <c r="G44" s="63">
        <v>28340</v>
      </c>
      <c r="H44" s="161">
        <v>-0.6</v>
      </c>
      <c r="I44" s="162">
        <v>-0.61</v>
      </c>
      <c r="J44" s="162">
        <v>-0.57999999999999996</v>
      </c>
      <c r="K44" s="68" t="s">
        <v>56</v>
      </c>
      <c r="L44" s="68" t="s">
        <v>56</v>
      </c>
      <c r="M44" s="163" t="s">
        <v>56</v>
      </c>
      <c r="N44" s="163" t="s">
        <v>56</v>
      </c>
      <c r="P44" s="20"/>
    </row>
    <row r="45" spans="1:16" x14ac:dyDescent="0.25">
      <c r="A45" s="67"/>
      <c r="B45" s="67" t="s">
        <v>87</v>
      </c>
      <c r="C45" s="63">
        <v>320</v>
      </c>
      <c r="D45" s="161">
        <v>-1.53</v>
      </c>
      <c r="E45" s="162">
        <v>-1.65</v>
      </c>
      <c r="F45" s="162">
        <v>-1.41</v>
      </c>
      <c r="G45" s="63">
        <v>5140</v>
      </c>
      <c r="H45" s="161">
        <v>-1.03</v>
      </c>
      <c r="I45" s="162">
        <v>-1.06</v>
      </c>
      <c r="J45" s="162">
        <v>-1</v>
      </c>
      <c r="K45" s="68" t="s">
        <v>56</v>
      </c>
      <c r="L45" s="68" t="s">
        <v>56</v>
      </c>
      <c r="M45" s="163" t="s">
        <v>56</v>
      </c>
      <c r="N45" s="163" t="s">
        <v>56</v>
      </c>
      <c r="P45" s="20"/>
    </row>
    <row r="46" spans="1:16" x14ac:dyDescent="0.25">
      <c r="A46" s="67"/>
      <c r="B46" s="67" t="s">
        <v>88</v>
      </c>
      <c r="C46" s="63">
        <v>600</v>
      </c>
      <c r="D46" s="161">
        <v>-1.17</v>
      </c>
      <c r="E46" s="162">
        <v>-1.26</v>
      </c>
      <c r="F46" s="162">
        <v>-1.0900000000000001</v>
      </c>
      <c r="G46" s="63">
        <v>23190</v>
      </c>
      <c r="H46" s="161">
        <v>-0.5</v>
      </c>
      <c r="I46" s="162">
        <v>-0.51</v>
      </c>
      <c r="J46" s="162">
        <v>-0.48</v>
      </c>
      <c r="K46" s="68" t="s">
        <v>56</v>
      </c>
      <c r="L46" s="68" t="s">
        <v>56</v>
      </c>
      <c r="M46" s="163" t="s">
        <v>56</v>
      </c>
      <c r="N46" s="163" t="s">
        <v>56</v>
      </c>
      <c r="P46" s="20"/>
    </row>
    <row r="47" spans="1:16" x14ac:dyDescent="0.25">
      <c r="A47" s="72"/>
      <c r="B47" s="72"/>
      <c r="C47" s="73"/>
      <c r="D47" s="73"/>
      <c r="E47" s="73"/>
      <c r="F47" s="73"/>
      <c r="G47" s="73"/>
      <c r="H47" s="73"/>
      <c r="I47" s="73"/>
      <c r="J47" s="73"/>
      <c r="K47" s="73"/>
      <c r="L47" s="73"/>
      <c r="M47" s="73"/>
      <c r="N47" s="73"/>
    </row>
    <row r="48" spans="1:16" x14ac:dyDescent="0.25">
      <c r="A48" s="74"/>
      <c r="B48" s="31"/>
      <c r="C48" s="31"/>
      <c r="D48" s="31"/>
      <c r="E48" s="167"/>
      <c r="F48" s="167"/>
      <c r="G48" s="16"/>
      <c r="H48" s="16"/>
      <c r="I48" s="98"/>
      <c r="J48" s="98"/>
      <c r="K48" s="16"/>
      <c r="L48" s="16"/>
      <c r="M48" s="98"/>
      <c r="N48" s="49" t="s">
        <v>62</v>
      </c>
    </row>
  </sheetData>
  <mergeCells count="9">
    <mergeCell ref="C35:F35"/>
    <mergeCell ref="G35:J35"/>
    <mergeCell ref="K35:N35"/>
    <mergeCell ref="C3:F3"/>
    <mergeCell ref="G3:J3"/>
    <mergeCell ref="K3:N3"/>
    <mergeCell ref="C19:F19"/>
    <mergeCell ref="G19:J19"/>
    <mergeCell ref="K19:N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53"/>
  <sheetViews>
    <sheetView showGridLines="0" zoomScaleNormal="100" workbookViewId="0"/>
  </sheetViews>
  <sheetFormatPr defaultColWidth="9" defaultRowHeight="15" x14ac:dyDescent="0.25"/>
  <cols>
    <col min="1" max="1" width="22.140625" style="7" customWidth="1"/>
    <col min="2" max="3" width="12.7109375" style="7" customWidth="1"/>
    <col min="4" max="4" width="3.7109375" style="7" customWidth="1"/>
    <col min="5" max="6" width="12.7109375" style="7" customWidth="1"/>
    <col min="7" max="7" width="3.7109375" style="7" customWidth="1"/>
    <col min="8" max="9" width="12.7109375" style="7" customWidth="1"/>
    <col min="10" max="10" width="3.7109375" style="7" customWidth="1"/>
    <col min="11" max="12" width="12.7109375" style="7" customWidth="1"/>
    <col min="13" max="25" width="9" style="7"/>
    <col min="26" max="26" width="8.7109375" style="208" bestFit="1" customWidth="1"/>
    <col min="27" max="27" width="49.140625" style="208" bestFit="1" customWidth="1"/>
    <col min="28" max="28" width="7" style="208" bestFit="1" customWidth="1"/>
    <col min="29" max="29" width="3" style="208" bestFit="1" customWidth="1"/>
    <col min="30" max="16384" width="9" style="7"/>
  </cols>
  <sheetData>
    <row r="1" spans="1:29" ht="15" customHeight="1" x14ac:dyDescent="0.25">
      <c r="A1" s="190"/>
      <c r="AA1" s="254"/>
    </row>
    <row r="2" spans="1:29" ht="15" customHeight="1" x14ac:dyDescent="0.25">
      <c r="A2" s="209" t="s">
        <v>12</v>
      </c>
      <c r="AA2" s="254"/>
    </row>
    <row r="3" spans="1:29" ht="30" customHeight="1" x14ac:dyDescent="0.25">
      <c r="A3" s="341" t="s">
        <v>130</v>
      </c>
      <c r="B3" s="357"/>
      <c r="C3" s="357"/>
      <c r="D3" s="357"/>
      <c r="E3" s="357"/>
      <c r="F3" s="357"/>
      <c r="G3" s="357"/>
      <c r="H3" s="357"/>
      <c r="I3" s="357"/>
      <c r="J3" s="357"/>
      <c r="K3" s="357"/>
      <c r="L3" s="357"/>
      <c r="AA3" s="254"/>
    </row>
    <row r="4" spans="1:29" ht="15" customHeight="1" x14ac:dyDescent="0.25">
      <c r="A4" s="210" t="s">
        <v>126</v>
      </c>
      <c r="AA4" s="254"/>
    </row>
    <row r="5" spans="1:29" ht="15" customHeight="1" x14ac:dyDescent="0.25">
      <c r="A5" s="113" t="s">
        <v>92</v>
      </c>
    </row>
    <row r="6" spans="1:29" ht="15" customHeight="1" x14ac:dyDescent="0.25">
      <c r="A6" s="113"/>
    </row>
    <row r="7" spans="1:29" ht="15" customHeight="1" x14ac:dyDescent="0.25">
      <c r="A7" s="329" t="s">
        <v>124</v>
      </c>
      <c r="B7" s="330"/>
      <c r="C7" s="330"/>
      <c r="D7" s="330"/>
      <c r="E7" s="330"/>
      <c r="F7" s="330"/>
      <c r="G7" s="330"/>
      <c r="H7" s="330"/>
      <c r="I7" s="330"/>
      <c r="J7" s="330"/>
      <c r="K7" s="330"/>
      <c r="L7" s="330"/>
      <c r="M7" s="294"/>
      <c r="N7" s="294"/>
      <c r="O7" s="294"/>
      <c r="P7" s="294"/>
      <c r="Q7" s="294"/>
      <c r="R7" s="294"/>
      <c r="S7" s="294"/>
      <c r="T7" s="294"/>
    </row>
    <row r="8" spans="1:29" ht="15" customHeight="1" x14ac:dyDescent="0.25">
      <c r="A8" s="330"/>
      <c r="B8" s="330"/>
      <c r="C8" s="330"/>
      <c r="D8" s="330"/>
      <c r="E8" s="330"/>
      <c r="F8" s="330"/>
      <c r="G8" s="330"/>
      <c r="H8" s="330"/>
      <c r="I8" s="330"/>
      <c r="J8" s="330"/>
      <c r="K8" s="330"/>
      <c r="L8" s="330"/>
      <c r="M8" s="294"/>
      <c r="N8" s="294"/>
      <c r="O8" s="294"/>
      <c r="P8" s="294"/>
      <c r="Q8" s="294"/>
      <c r="R8" s="294"/>
      <c r="S8" s="294"/>
      <c r="T8" s="294"/>
    </row>
    <row r="9" spans="1:29" ht="15" customHeight="1" x14ac:dyDescent="0.25">
      <c r="A9" s="330"/>
      <c r="B9" s="330"/>
      <c r="C9" s="330"/>
      <c r="D9" s="330"/>
      <c r="E9" s="330"/>
      <c r="F9" s="330"/>
      <c r="G9" s="330"/>
      <c r="H9" s="330"/>
      <c r="I9" s="330"/>
      <c r="J9" s="330"/>
      <c r="K9" s="330"/>
      <c r="L9" s="330"/>
    </row>
    <row r="10" spans="1:29" ht="15" customHeight="1" x14ac:dyDescent="0.25">
      <c r="A10" s="330"/>
      <c r="B10" s="330"/>
      <c r="C10" s="330"/>
      <c r="D10" s="330"/>
      <c r="E10" s="330"/>
      <c r="F10" s="330"/>
      <c r="G10" s="330"/>
      <c r="H10" s="330"/>
      <c r="I10" s="330"/>
      <c r="J10" s="330"/>
      <c r="K10" s="330"/>
      <c r="L10" s="330"/>
    </row>
    <row r="11" spans="1:29" ht="15" customHeight="1" x14ac:dyDescent="0.25">
      <c r="A11" s="255"/>
      <c r="B11" s="255"/>
      <c r="C11" s="255"/>
      <c r="D11" s="255"/>
      <c r="E11" s="255"/>
      <c r="F11" s="255"/>
      <c r="G11" s="255"/>
      <c r="H11" s="255"/>
      <c r="I11" s="255"/>
    </row>
    <row r="12" spans="1:29" ht="14.25" customHeight="1" x14ac:dyDescent="0.25">
      <c r="A12" s="256"/>
      <c r="B12" s="350" t="s">
        <v>111</v>
      </c>
      <c r="C12" s="352"/>
      <c r="D12" s="216"/>
      <c r="E12" s="350" t="s">
        <v>112</v>
      </c>
      <c r="F12" s="352"/>
      <c r="G12" s="216"/>
      <c r="H12" s="350" t="s">
        <v>190</v>
      </c>
      <c r="I12" s="352"/>
      <c r="J12" s="216"/>
      <c r="K12" s="350" t="s">
        <v>20</v>
      </c>
      <c r="L12" s="352"/>
      <c r="Z12" s="198"/>
      <c r="AA12" s="198"/>
      <c r="AB12" s="198"/>
      <c r="AC12" s="198"/>
    </row>
    <row r="13" spans="1:29" ht="67.5" x14ac:dyDescent="0.25">
      <c r="A13" s="257"/>
      <c r="B13" s="258" t="s">
        <v>63</v>
      </c>
      <c r="C13" s="258" t="s">
        <v>83</v>
      </c>
      <c r="D13" s="259"/>
      <c r="E13" s="258" t="s">
        <v>63</v>
      </c>
      <c r="F13" s="258" t="s">
        <v>83</v>
      </c>
      <c r="G13" s="259"/>
      <c r="H13" s="258" t="s">
        <v>63</v>
      </c>
      <c r="I13" s="258" t="s">
        <v>83</v>
      </c>
      <c r="J13" s="259"/>
      <c r="K13" s="258" t="s">
        <v>63</v>
      </c>
      <c r="L13" s="258" t="s">
        <v>83</v>
      </c>
      <c r="Z13" s="198"/>
      <c r="AA13" s="198"/>
      <c r="AB13" s="198"/>
      <c r="AC13" s="198"/>
    </row>
    <row r="14" spans="1:29" ht="15" customHeight="1" x14ac:dyDescent="0.25">
      <c r="A14" s="260"/>
      <c r="B14" s="261"/>
      <c r="C14" s="261"/>
      <c r="D14" s="261"/>
      <c r="E14" s="261"/>
      <c r="F14" s="261"/>
      <c r="G14" s="261"/>
      <c r="H14" s="261"/>
      <c r="I14" s="261"/>
      <c r="J14" s="261"/>
      <c r="K14" s="261"/>
      <c r="L14" s="261"/>
      <c r="Z14" s="198"/>
      <c r="AA14" s="198"/>
      <c r="AB14" s="198"/>
      <c r="AC14" s="198"/>
    </row>
    <row r="15" spans="1:29" ht="15" customHeight="1" x14ac:dyDescent="0.25">
      <c r="A15" s="317" t="s">
        <v>187</v>
      </c>
      <c r="B15" s="315">
        <v>850</v>
      </c>
      <c r="C15" s="316">
        <v>22.6</v>
      </c>
      <c r="D15" s="318"/>
      <c r="E15" s="315">
        <v>170</v>
      </c>
      <c r="F15" s="316">
        <v>20.9</v>
      </c>
      <c r="G15" s="318"/>
      <c r="H15" s="315">
        <v>130</v>
      </c>
      <c r="I15" s="316">
        <v>19.7</v>
      </c>
      <c r="J15" s="318"/>
      <c r="K15" s="315">
        <v>1150</v>
      </c>
      <c r="L15" s="316">
        <v>22.1</v>
      </c>
      <c r="AA15" s="254"/>
    </row>
    <row r="16" spans="1:29" ht="15" customHeight="1" x14ac:dyDescent="0.25">
      <c r="A16" s="262" t="s">
        <v>192</v>
      </c>
      <c r="B16" s="263">
        <v>1160</v>
      </c>
      <c r="C16" s="264">
        <v>25.3</v>
      </c>
      <c r="D16" s="265"/>
      <c r="E16" s="263">
        <v>260</v>
      </c>
      <c r="F16" s="264">
        <v>25.3</v>
      </c>
      <c r="G16" s="265"/>
      <c r="H16" s="263">
        <v>130</v>
      </c>
      <c r="I16" s="264">
        <v>28.7</v>
      </c>
      <c r="J16" s="265"/>
      <c r="K16" s="263">
        <v>1540</v>
      </c>
      <c r="L16" s="264">
        <v>25.6</v>
      </c>
      <c r="AA16" s="254"/>
    </row>
    <row r="17" spans="1:29" ht="14.25" customHeight="1" x14ac:dyDescent="0.25">
      <c r="A17" s="234"/>
      <c r="B17" s="234"/>
      <c r="C17" s="234"/>
      <c r="D17" s="234"/>
      <c r="E17" s="234"/>
      <c r="F17" s="234"/>
      <c r="G17" s="234"/>
      <c r="H17" s="234"/>
      <c r="I17" s="234"/>
      <c r="J17" s="234"/>
      <c r="K17" s="234"/>
      <c r="L17" s="234"/>
      <c r="AA17" s="254"/>
    </row>
    <row r="18" spans="1:29" ht="15" customHeight="1" x14ac:dyDescent="0.25">
      <c r="I18" s="174"/>
      <c r="L18" s="178" t="s">
        <v>121</v>
      </c>
      <c r="AA18" s="254"/>
    </row>
    <row r="19" spans="1:29" ht="15" customHeight="1" x14ac:dyDescent="0.25">
      <c r="AA19" s="254"/>
    </row>
    <row r="20" spans="1:29" s="198" customFormat="1" ht="33.75" customHeight="1" x14ac:dyDescent="0.25">
      <c r="A20" s="356" t="s">
        <v>186</v>
      </c>
      <c r="B20" s="357"/>
      <c r="C20" s="357"/>
      <c r="D20" s="357"/>
      <c r="E20" s="357"/>
      <c r="F20" s="357"/>
      <c r="G20" s="357"/>
      <c r="H20" s="357"/>
      <c r="I20" s="357"/>
      <c r="J20" s="357"/>
      <c r="K20" s="357"/>
      <c r="L20" s="357"/>
      <c r="M20" s="296"/>
      <c r="N20" s="211"/>
      <c r="Z20" s="208"/>
      <c r="AA20" s="254"/>
      <c r="AB20" s="208"/>
      <c r="AC20" s="208"/>
    </row>
    <row r="21" spans="1:29" s="198" customFormat="1" ht="11.25" customHeight="1" x14ac:dyDescent="0.25">
      <c r="A21" s="374" t="s">
        <v>160</v>
      </c>
      <c r="B21" s="330"/>
      <c r="C21" s="330"/>
      <c r="D21" s="330"/>
      <c r="E21" s="330"/>
      <c r="F21" s="330"/>
      <c r="G21" s="330"/>
      <c r="H21" s="330"/>
      <c r="I21" s="330"/>
      <c r="J21" s="330"/>
      <c r="K21" s="330"/>
      <c r="L21" s="330"/>
      <c r="Z21" s="208"/>
      <c r="AA21" s="254"/>
      <c r="AB21" s="208"/>
      <c r="AC21" s="208"/>
    </row>
    <row r="22" spans="1:29" s="198" customFormat="1" ht="33.75" customHeight="1" x14ac:dyDescent="0.2">
      <c r="A22" s="356" t="s">
        <v>161</v>
      </c>
      <c r="B22" s="357"/>
      <c r="C22" s="357"/>
      <c r="D22" s="357"/>
      <c r="E22" s="357"/>
      <c r="F22" s="357"/>
      <c r="G22" s="357"/>
      <c r="H22" s="357"/>
      <c r="I22" s="357"/>
      <c r="J22" s="357"/>
      <c r="K22" s="357"/>
      <c r="L22" s="357"/>
      <c r="M22" s="296"/>
      <c r="Z22" s="208"/>
      <c r="AA22" s="254"/>
      <c r="AB22" s="208"/>
      <c r="AC22" s="208"/>
    </row>
    <row r="23" spans="1:29" s="198" customFormat="1" ht="33.75" customHeight="1" x14ac:dyDescent="0.2">
      <c r="A23" s="356" t="s">
        <v>188</v>
      </c>
      <c r="B23" s="357"/>
      <c r="C23" s="357"/>
      <c r="D23" s="357"/>
      <c r="E23" s="357"/>
      <c r="F23" s="357"/>
      <c r="G23" s="357"/>
      <c r="H23" s="357"/>
      <c r="I23" s="357"/>
      <c r="J23" s="357"/>
      <c r="K23" s="357"/>
      <c r="L23" s="357"/>
      <c r="M23" s="296"/>
      <c r="Z23" s="208"/>
      <c r="AA23" s="254"/>
      <c r="AB23" s="208"/>
      <c r="AC23" s="208"/>
    </row>
    <row r="24" spans="1:29" s="198" customFormat="1" ht="45" customHeight="1" x14ac:dyDescent="0.25">
      <c r="A24" s="356" t="s">
        <v>191</v>
      </c>
      <c r="B24" s="357"/>
      <c r="C24" s="357"/>
      <c r="D24" s="357"/>
      <c r="E24" s="357"/>
      <c r="F24" s="357"/>
      <c r="G24" s="357"/>
      <c r="H24" s="357"/>
      <c r="I24" s="357"/>
      <c r="J24" s="357"/>
      <c r="K24" s="357"/>
      <c r="L24" s="357"/>
      <c r="M24" s="296"/>
      <c r="N24" s="211"/>
      <c r="Z24" s="208"/>
      <c r="AA24" s="254"/>
      <c r="AB24" s="208"/>
      <c r="AC24" s="208"/>
    </row>
    <row r="25" spans="1:29" s="198" customFormat="1" ht="11.25" customHeight="1" x14ac:dyDescent="0.2">
      <c r="Z25" s="208"/>
      <c r="AA25" s="208"/>
      <c r="AB25" s="208"/>
      <c r="AC25" s="208"/>
    </row>
    <row r="26" spans="1:29" s="198" customFormat="1" ht="11.25" customHeight="1" x14ac:dyDescent="0.2">
      <c r="A26" s="198" t="s">
        <v>162</v>
      </c>
      <c r="Z26" s="208"/>
      <c r="AA26" s="208"/>
      <c r="AB26" s="208"/>
      <c r="AC26" s="208"/>
    </row>
    <row r="27" spans="1:29" ht="11.25" customHeight="1" x14ac:dyDescent="0.25">
      <c r="A27" s="297" t="s">
        <v>149</v>
      </c>
      <c r="B27" s="298"/>
      <c r="C27" s="298"/>
      <c r="D27" s="298"/>
      <c r="E27" s="298"/>
      <c r="F27" s="298"/>
      <c r="G27" s="298"/>
      <c r="H27" s="298"/>
      <c r="I27" s="298"/>
      <c r="J27" s="298"/>
      <c r="K27" s="298"/>
      <c r="L27" s="298"/>
      <c r="M27" s="298"/>
      <c r="N27" s="298"/>
      <c r="O27" s="298"/>
      <c r="P27" s="298"/>
      <c r="Z27" s="7"/>
      <c r="AA27" s="7"/>
      <c r="AB27" s="7"/>
      <c r="AC27" s="7"/>
    </row>
    <row r="28" spans="1:29" ht="11.25" customHeight="1" x14ac:dyDescent="0.25">
      <c r="A28" s="235" t="s">
        <v>150</v>
      </c>
      <c r="B28" s="198"/>
      <c r="C28" s="198"/>
      <c r="D28" s="198"/>
      <c r="E28" s="198"/>
      <c r="F28" s="198"/>
      <c r="G28" s="198"/>
      <c r="H28" s="198"/>
      <c r="I28" s="198"/>
      <c r="J28" s="198"/>
      <c r="K28" s="198"/>
      <c r="L28" s="198"/>
      <c r="M28" s="198"/>
      <c r="N28" s="198"/>
      <c r="O28" s="198"/>
      <c r="P28" s="198"/>
      <c r="Z28" s="7"/>
      <c r="AA28" s="7"/>
      <c r="AB28" s="7"/>
      <c r="AC28" s="7"/>
    </row>
    <row r="29" spans="1:29" ht="11.25" customHeight="1" x14ac:dyDescent="0.25">
      <c r="A29" s="235" t="s">
        <v>151</v>
      </c>
      <c r="B29" s="198"/>
      <c r="C29" s="198"/>
      <c r="D29" s="198"/>
      <c r="E29" s="198"/>
      <c r="F29" s="198"/>
      <c r="G29" s="198"/>
      <c r="H29" s="198"/>
      <c r="I29" s="198"/>
      <c r="J29" s="198"/>
      <c r="K29" s="198"/>
      <c r="L29" s="198"/>
      <c r="M29" s="198"/>
      <c r="N29" s="198"/>
      <c r="O29" s="198"/>
      <c r="P29" s="198"/>
      <c r="Z29" s="7"/>
      <c r="AA29" s="7"/>
      <c r="AB29" s="7"/>
      <c r="AC29" s="7"/>
    </row>
    <row r="30" spans="1:29" ht="11.25" customHeight="1" x14ac:dyDescent="0.25">
      <c r="A30" s="235" t="s">
        <v>152</v>
      </c>
      <c r="B30" s="198"/>
      <c r="C30" s="198"/>
      <c r="D30" s="198"/>
      <c r="E30" s="198"/>
      <c r="F30" s="198"/>
      <c r="G30" s="198"/>
      <c r="H30" s="198"/>
      <c r="I30" s="198"/>
      <c r="J30" s="198"/>
      <c r="K30" s="198"/>
      <c r="L30" s="198"/>
      <c r="M30" s="198"/>
      <c r="N30" s="198"/>
      <c r="O30" s="198"/>
      <c r="P30" s="198"/>
      <c r="Z30" s="7"/>
      <c r="AA30" s="7"/>
      <c r="AB30" s="7"/>
      <c r="AC30" s="7"/>
    </row>
    <row r="31" spans="1:29" ht="11.25" customHeight="1" x14ac:dyDescent="0.25">
      <c r="A31" s="235" t="str">
        <f>"-  (hyphen)  negligible"</f>
        <v>-  (hyphen)  negligible</v>
      </c>
      <c r="B31" s="198"/>
      <c r="C31" s="198"/>
      <c r="D31" s="198"/>
      <c r="E31" s="198"/>
      <c r="F31" s="198"/>
      <c r="G31" s="198"/>
      <c r="H31" s="198"/>
      <c r="I31" s="198"/>
      <c r="J31" s="198"/>
      <c r="K31" s="198"/>
      <c r="L31" s="198"/>
      <c r="M31" s="198"/>
      <c r="N31" s="198"/>
      <c r="O31" s="198"/>
      <c r="P31" s="198"/>
      <c r="Z31" s="7"/>
      <c r="AA31" s="7"/>
      <c r="AB31" s="7"/>
      <c r="AC31" s="7"/>
    </row>
    <row r="32" spans="1:29" ht="11.25" customHeight="1" x14ac:dyDescent="0.25">
      <c r="A32" s="198" t="s">
        <v>27</v>
      </c>
      <c r="B32" s="198"/>
      <c r="C32" s="198"/>
      <c r="D32" s="198"/>
      <c r="E32" s="198"/>
      <c r="F32" s="198"/>
      <c r="G32" s="198"/>
      <c r="H32" s="198"/>
      <c r="I32" s="198"/>
      <c r="J32" s="198"/>
      <c r="K32" s="198"/>
      <c r="L32" s="198"/>
      <c r="M32" s="198"/>
      <c r="N32" s="198"/>
      <c r="O32" s="198"/>
      <c r="P32" s="198"/>
      <c r="Z32" s="7"/>
      <c r="AA32" s="7"/>
      <c r="AB32" s="7"/>
      <c r="AC32" s="7"/>
    </row>
    <row r="33" spans="27:27" x14ac:dyDescent="0.25">
      <c r="AA33" s="254"/>
    </row>
    <row r="34" spans="27:27" ht="15" customHeight="1" x14ac:dyDescent="0.25">
      <c r="AA34" s="254"/>
    </row>
    <row r="35" spans="27:27" ht="15" customHeight="1" x14ac:dyDescent="0.25">
      <c r="AA35" s="254"/>
    </row>
    <row r="39" spans="27:27" ht="22.5" customHeight="1" x14ac:dyDescent="0.25"/>
    <row r="40" spans="27:27" ht="22.5" customHeight="1" x14ac:dyDescent="0.25"/>
    <row r="41" spans="27:27" ht="33.75" customHeight="1" x14ac:dyDescent="0.25"/>
    <row r="42" spans="27:27" ht="11.25" customHeight="1" x14ac:dyDescent="0.25"/>
    <row r="43" spans="27:27" ht="11.25" customHeight="1" x14ac:dyDescent="0.25"/>
    <row r="44" spans="27:27" ht="33.75" customHeight="1" x14ac:dyDescent="0.25"/>
    <row r="45" spans="27:27" ht="22.5" customHeight="1" x14ac:dyDescent="0.25"/>
    <row r="46" spans="27:27" ht="33.75" customHeight="1" x14ac:dyDescent="0.25"/>
    <row r="47" spans="27:27" ht="11.25" customHeight="1" x14ac:dyDescent="0.25"/>
    <row r="49" ht="11.25" customHeight="1" x14ac:dyDescent="0.25"/>
    <row r="50" ht="11.25" customHeight="1" x14ac:dyDescent="0.25"/>
    <row r="51" ht="11.25" customHeight="1" x14ac:dyDescent="0.25"/>
    <row r="52" ht="11.25" customHeight="1" x14ac:dyDescent="0.25"/>
    <row r="53" ht="14.25" customHeight="1" x14ac:dyDescent="0.25"/>
  </sheetData>
  <sheetProtection algorithmName="SHA-512" hashValue="7XKVuftQd9Q9JFZtlPJMzLJNkHzmUL+Dq7/PgOI0oLMiJL+imIyn54VjyMqEpqzdInRj1KqSItpAJkzRIATagw==" saltValue="7Fn2QD9IcfSOJoDsmaFRLg==" spinCount="100000" sheet="1" objects="1" scenarios="1"/>
  <mergeCells count="11">
    <mergeCell ref="A24:L24"/>
    <mergeCell ref="A3:L3"/>
    <mergeCell ref="B12:C12"/>
    <mergeCell ref="E12:F12"/>
    <mergeCell ref="H12:I12"/>
    <mergeCell ref="K12:L12"/>
    <mergeCell ref="A7:L10"/>
    <mergeCell ref="A20:L20"/>
    <mergeCell ref="A21:L21"/>
    <mergeCell ref="A22:L22"/>
    <mergeCell ref="A23:L23"/>
  </mergeCells>
  <hyperlinks>
    <hyperlink ref="A2" location="INDEX!A1" display="Back to index"/>
  </hyperlinks>
  <pageMargins left="0.7" right="0.7" top="0.75" bottom="0.75" header="0.3" footer="0.3"/>
  <pageSetup paperSize="9" scale="97" orientation="landscape" r:id="rId1"/>
  <ignoredErrors>
    <ignoredError sqref="A15: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B46"/>
  <sheetViews>
    <sheetView workbookViewId="0"/>
  </sheetViews>
  <sheetFormatPr defaultColWidth="9" defaultRowHeight="15" x14ac:dyDescent="0.25"/>
  <cols>
    <col min="1" max="1" width="9" style="16"/>
    <col min="2" max="2" width="30.5703125" style="16" customWidth="1"/>
    <col min="3" max="3" width="11.5703125" style="16" customWidth="1"/>
    <col min="4" max="4" width="2" style="16" customWidth="1"/>
    <col min="5" max="5" width="9" style="16"/>
    <col min="6" max="6" width="2.5703125" style="16" customWidth="1"/>
    <col min="7" max="7" width="9" style="16"/>
    <col min="8" max="8" width="14" style="16" customWidth="1"/>
    <col min="9" max="9" width="11.5703125" style="16" customWidth="1"/>
    <col min="10" max="10" width="3.5703125" style="16" customWidth="1"/>
    <col min="11" max="11" width="11.5703125" style="16" customWidth="1"/>
    <col min="12" max="12" width="2.42578125" style="16" customWidth="1"/>
    <col min="13" max="13" width="9" style="16"/>
    <col min="14" max="14" width="2.28515625" style="16" customWidth="1"/>
    <col min="15" max="15" width="9" style="16"/>
    <col min="16" max="16" width="14.7109375" style="16" customWidth="1"/>
    <col min="17" max="17" width="11.85546875" style="16" customWidth="1"/>
    <col min="18" max="19" width="9" style="16"/>
    <col min="20" max="20" width="30.5703125" style="16" customWidth="1"/>
    <col min="21" max="21" width="11.5703125" style="16" customWidth="1"/>
    <col min="22" max="22" width="2" style="16" customWidth="1"/>
    <col min="23" max="23" width="9" style="16"/>
    <col min="24" max="24" width="2.5703125" style="16" customWidth="1"/>
    <col min="25" max="25" width="9" style="16"/>
    <col min="26" max="26" width="14" style="16" customWidth="1"/>
    <col min="27" max="27" width="11.5703125" style="16" customWidth="1"/>
    <col min="28" max="28" width="3.5703125" style="16" customWidth="1"/>
    <col min="29" max="29" width="11.5703125" style="16" customWidth="1"/>
    <col min="30" max="30" width="2.42578125" style="16" customWidth="1"/>
    <col min="31" max="31" width="9" style="16"/>
    <col min="32" max="32" width="2.28515625" style="16" customWidth="1"/>
    <col min="33" max="33" width="9" style="16"/>
    <col min="34" max="34" width="14.7109375" style="16" customWidth="1"/>
    <col min="35" max="35" width="11.85546875" style="16" customWidth="1"/>
    <col min="36" max="37" width="9" style="16"/>
    <col min="38" max="38" width="30.5703125" style="16" customWidth="1"/>
    <col min="39" max="39" width="11.5703125" style="16" customWidth="1"/>
    <col min="40" max="40" width="2" style="16" customWidth="1"/>
    <col min="41" max="41" width="9" style="16"/>
    <col min="42" max="42" width="2.5703125" style="16" customWidth="1"/>
    <col min="43" max="43" width="9" style="16"/>
    <col min="44" max="44" width="14" style="16" customWidth="1"/>
    <col min="45" max="45" width="11.5703125" style="16" customWidth="1"/>
    <col min="46" max="46" width="3.5703125" style="16" customWidth="1"/>
    <col min="47" max="47" width="11.5703125" style="16" customWidth="1"/>
    <col min="48" max="48" width="2.42578125" style="16" customWidth="1"/>
    <col min="49" max="49" width="9" style="16"/>
    <col min="50" max="50" width="2.28515625" style="16" customWidth="1"/>
    <col min="51" max="51" width="9" style="16"/>
    <col min="52" max="52" width="14.7109375" style="16" customWidth="1"/>
    <col min="53" max="53" width="11.85546875" style="16" customWidth="1"/>
    <col min="54" max="16384" width="9" style="16"/>
  </cols>
  <sheetData>
    <row r="1" spans="1:54" ht="15" customHeight="1" x14ac:dyDescent="0.25">
      <c r="A1" s="15"/>
      <c r="S1" s="15"/>
      <c r="AK1" s="15"/>
      <c r="BB1" s="20"/>
    </row>
    <row r="2" spans="1:54" ht="15" customHeight="1" x14ac:dyDescent="0.25">
      <c r="A2" s="204"/>
      <c r="S2" s="204"/>
      <c r="AK2" s="204"/>
    </row>
    <row r="3" spans="1:54" ht="30" customHeight="1" x14ac:dyDescent="0.25">
      <c r="A3" s="332" t="s">
        <v>123</v>
      </c>
      <c r="B3" s="332"/>
      <c r="C3" s="332"/>
      <c r="D3" s="332"/>
      <c r="E3" s="332"/>
      <c r="F3" s="332"/>
      <c r="G3" s="332"/>
      <c r="H3" s="332"/>
      <c r="I3" s="332"/>
      <c r="J3" s="332"/>
      <c r="K3" s="332"/>
      <c r="L3" s="332"/>
      <c r="M3" s="332"/>
      <c r="N3" s="332"/>
      <c r="O3" s="332"/>
      <c r="P3" s="332"/>
      <c r="Q3" s="332"/>
      <c r="S3" s="332" t="s">
        <v>123</v>
      </c>
      <c r="T3" s="332"/>
      <c r="U3" s="332"/>
      <c r="V3" s="332"/>
      <c r="W3" s="332"/>
      <c r="X3" s="332"/>
      <c r="Y3" s="332"/>
      <c r="Z3" s="332"/>
      <c r="AA3" s="332"/>
      <c r="AB3" s="332"/>
      <c r="AC3" s="332"/>
      <c r="AD3" s="332"/>
      <c r="AE3" s="332"/>
      <c r="AF3" s="332"/>
      <c r="AG3" s="332"/>
      <c r="AH3" s="332"/>
      <c r="AI3" s="332"/>
      <c r="AK3" s="332" t="s">
        <v>123</v>
      </c>
      <c r="AL3" s="332"/>
      <c r="AM3" s="332"/>
      <c r="AN3" s="332"/>
      <c r="AO3" s="332"/>
      <c r="AP3" s="332"/>
      <c r="AQ3" s="332"/>
      <c r="AR3" s="332"/>
      <c r="AS3" s="332"/>
      <c r="AT3" s="332"/>
      <c r="AU3" s="332"/>
      <c r="AV3" s="332"/>
      <c r="AW3" s="332"/>
      <c r="AX3" s="332"/>
      <c r="AY3" s="332"/>
      <c r="AZ3" s="332"/>
      <c r="BA3" s="332"/>
    </row>
    <row r="4" spans="1:54" ht="15" customHeight="1" x14ac:dyDescent="0.25">
      <c r="A4" s="21" t="s">
        <v>91</v>
      </c>
      <c r="B4" s="20"/>
      <c r="C4" s="20"/>
      <c r="D4" s="19"/>
      <c r="E4" s="20"/>
      <c r="F4" s="19"/>
      <c r="G4" s="20"/>
      <c r="H4" s="20"/>
      <c r="I4" s="20"/>
      <c r="K4" s="20"/>
      <c r="M4" s="20"/>
      <c r="O4" s="20"/>
      <c r="P4" s="20"/>
      <c r="Q4" s="20"/>
      <c r="S4" s="21" t="s">
        <v>91</v>
      </c>
      <c r="U4" s="20"/>
      <c r="V4" s="19"/>
      <c r="W4" s="20"/>
      <c r="X4" s="19"/>
      <c r="Y4" s="20"/>
      <c r="Z4" s="20"/>
      <c r="AA4" s="20"/>
      <c r="AC4" s="20"/>
      <c r="AE4" s="20"/>
      <c r="AG4" s="20"/>
      <c r="AH4" s="20"/>
      <c r="AI4" s="20"/>
      <c r="AK4" s="21" t="s">
        <v>91</v>
      </c>
      <c r="AM4" s="20"/>
      <c r="AN4" s="19"/>
      <c r="AO4" s="20"/>
      <c r="AP4" s="19"/>
      <c r="AQ4" s="20"/>
      <c r="AR4" s="20"/>
      <c r="AS4" s="20"/>
      <c r="AU4" s="20"/>
      <c r="AW4" s="20"/>
      <c r="AY4" s="20"/>
      <c r="AZ4" s="20"/>
      <c r="BA4" s="20"/>
    </row>
    <row r="5" spans="1:54" x14ac:dyDescent="0.25">
      <c r="A5" s="21" t="s">
        <v>28</v>
      </c>
      <c r="B5" s="20"/>
      <c r="C5" s="20"/>
      <c r="D5" s="20"/>
      <c r="E5" s="20"/>
      <c r="F5" s="20"/>
      <c r="G5" s="20"/>
      <c r="H5" s="20"/>
      <c r="I5" s="20"/>
      <c r="J5" s="20"/>
      <c r="K5" s="20"/>
      <c r="L5" s="20"/>
      <c r="M5" s="20"/>
      <c r="N5" s="20"/>
      <c r="O5" s="20"/>
      <c r="P5" s="20"/>
      <c r="Q5" s="20"/>
      <c r="S5" s="21" t="s">
        <v>28</v>
      </c>
      <c r="U5" s="20"/>
      <c r="V5" s="20"/>
      <c r="W5" s="20"/>
      <c r="X5" s="20"/>
      <c r="Y5" s="20"/>
      <c r="Z5" s="20"/>
      <c r="AA5" s="20"/>
      <c r="AB5" s="20"/>
      <c r="AC5" s="20"/>
      <c r="AD5" s="20"/>
      <c r="AE5" s="20"/>
      <c r="AF5" s="20"/>
      <c r="AG5" s="20"/>
      <c r="AH5" s="20"/>
      <c r="AI5" s="20"/>
      <c r="AK5" s="21" t="s">
        <v>28</v>
      </c>
      <c r="AM5" s="20"/>
      <c r="AN5" s="20"/>
      <c r="AO5" s="20"/>
      <c r="AP5" s="20"/>
      <c r="AQ5" s="20"/>
      <c r="AR5" s="20"/>
      <c r="AS5" s="20"/>
      <c r="AT5" s="20"/>
      <c r="AU5" s="20"/>
      <c r="AV5" s="20"/>
      <c r="AW5" s="20"/>
      <c r="AX5" s="20"/>
      <c r="AY5" s="20"/>
      <c r="AZ5" s="20"/>
      <c r="BA5" s="20"/>
    </row>
    <row r="6" spans="1:54" x14ac:dyDescent="0.25">
      <c r="A6" s="23"/>
      <c r="B6" s="22"/>
      <c r="C6" s="20"/>
      <c r="D6" s="20"/>
      <c r="E6" s="20"/>
      <c r="F6" s="22"/>
      <c r="G6" s="20"/>
      <c r="H6" s="20"/>
      <c r="I6" s="20"/>
      <c r="J6" s="20"/>
      <c r="K6" s="20"/>
      <c r="L6" s="20"/>
      <c r="M6" s="20"/>
      <c r="N6" s="22"/>
      <c r="O6" s="20"/>
      <c r="P6" s="20"/>
      <c r="Q6" s="20"/>
      <c r="S6" s="23"/>
      <c r="T6" s="23"/>
      <c r="U6" s="20"/>
      <c r="V6" s="20"/>
      <c r="W6" s="20"/>
      <c r="X6" s="22"/>
      <c r="Y6" s="20"/>
      <c r="Z6" s="20"/>
      <c r="AA6" s="20"/>
      <c r="AB6" s="20"/>
      <c r="AC6" s="20"/>
      <c r="AD6" s="20"/>
      <c r="AE6" s="20"/>
      <c r="AF6" s="22"/>
      <c r="AG6" s="20"/>
      <c r="AH6" s="20"/>
      <c r="AI6" s="20"/>
      <c r="AK6" s="23"/>
      <c r="AL6" s="23"/>
      <c r="AM6" s="20"/>
      <c r="AN6" s="20"/>
      <c r="AO6" s="20"/>
      <c r="AP6" s="22"/>
      <c r="AQ6" s="20"/>
      <c r="AR6" s="20"/>
      <c r="AS6" s="20"/>
      <c r="AT6" s="20"/>
      <c r="AU6" s="20"/>
      <c r="AV6" s="20"/>
      <c r="AW6" s="20"/>
      <c r="AX6" s="22"/>
      <c r="AY6" s="20"/>
      <c r="AZ6" s="20"/>
      <c r="BA6" s="20"/>
    </row>
    <row r="8" spans="1:54" ht="15" customHeight="1" x14ac:dyDescent="0.25">
      <c r="A8" s="25"/>
      <c r="B8" s="25"/>
      <c r="C8" s="333" t="s">
        <v>21</v>
      </c>
      <c r="D8" s="333"/>
      <c r="E8" s="333"/>
      <c r="F8" s="333"/>
      <c r="G8" s="333"/>
      <c r="H8" s="333"/>
      <c r="I8" s="333"/>
      <c r="J8" s="25"/>
      <c r="K8" s="333" t="s">
        <v>22</v>
      </c>
      <c r="L8" s="333"/>
      <c r="M8" s="333"/>
      <c r="N8" s="333"/>
      <c r="O8" s="333"/>
      <c r="P8" s="333"/>
      <c r="Q8" s="333"/>
      <c r="S8" s="25"/>
      <c r="T8" s="25"/>
      <c r="U8" s="333" t="s">
        <v>21</v>
      </c>
      <c r="V8" s="333"/>
      <c r="W8" s="333"/>
      <c r="X8" s="333"/>
      <c r="Y8" s="333"/>
      <c r="Z8" s="333"/>
      <c r="AA8" s="333"/>
      <c r="AB8" s="25"/>
      <c r="AC8" s="333" t="s">
        <v>22</v>
      </c>
      <c r="AD8" s="333"/>
      <c r="AE8" s="333"/>
      <c r="AF8" s="333"/>
      <c r="AG8" s="333"/>
      <c r="AH8" s="333"/>
      <c r="AI8" s="333"/>
      <c r="AK8" s="25"/>
      <c r="AL8" s="25"/>
      <c r="AM8" s="333" t="s">
        <v>21</v>
      </c>
      <c r="AN8" s="333"/>
      <c r="AO8" s="333"/>
      <c r="AP8" s="333"/>
      <c r="AQ8" s="333"/>
      <c r="AR8" s="333"/>
      <c r="AS8" s="333"/>
      <c r="AT8" s="25"/>
      <c r="AU8" s="333" t="s">
        <v>22</v>
      </c>
      <c r="AV8" s="333"/>
      <c r="AW8" s="333"/>
      <c r="AX8" s="333"/>
      <c r="AY8" s="333"/>
      <c r="AZ8" s="333"/>
      <c r="BA8" s="333"/>
    </row>
    <row r="9" spans="1:54" ht="45" customHeight="1" x14ac:dyDescent="0.25">
      <c r="A9" s="26"/>
      <c r="B9" s="26"/>
      <c r="C9" s="27" t="s">
        <v>29</v>
      </c>
      <c r="D9" s="28"/>
      <c r="E9" s="27" t="s">
        <v>23</v>
      </c>
      <c r="F9" s="28"/>
      <c r="G9" s="29" t="s">
        <v>75</v>
      </c>
      <c r="H9" s="27" t="s">
        <v>31</v>
      </c>
      <c r="I9" s="27" t="s">
        <v>32</v>
      </c>
      <c r="J9" s="30"/>
      <c r="K9" s="27" t="s">
        <v>29</v>
      </c>
      <c r="L9" s="28"/>
      <c r="M9" s="27" t="s">
        <v>23</v>
      </c>
      <c r="N9" s="28"/>
      <c r="O9" s="29" t="s">
        <v>75</v>
      </c>
      <c r="P9" s="27" t="s">
        <v>31</v>
      </c>
      <c r="Q9" s="27" t="s">
        <v>32</v>
      </c>
      <c r="S9" s="26"/>
      <c r="T9" s="26"/>
      <c r="U9" s="27" t="s">
        <v>29</v>
      </c>
      <c r="V9" s="28"/>
      <c r="W9" s="27" t="s">
        <v>23</v>
      </c>
      <c r="X9" s="28"/>
      <c r="Y9" s="29" t="s">
        <v>75</v>
      </c>
      <c r="Z9" s="27" t="s">
        <v>31</v>
      </c>
      <c r="AA9" s="27" t="s">
        <v>32</v>
      </c>
      <c r="AB9" s="30"/>
      <c r="AC9" s="27" t="s">
        <v>29</v>
      </c>
      <c r="AD9" s="28"/>
      <c r="AE9" s="27" t="s">
        <v>23</v>
      </c>
      <c r="AF9" s="28"/>
      <c r="AG9" s="29" t="s">
        <v>75</v>
      </c>
      <c r="AH9" s="27" t="s">
        <v>31</v>
      </c>
      <c r="AI9" s="27" t="s">
        <v>32</v>
      </c>
      <c r="AK9" s="26"/>
      <c r="AL9" s="26"/>
      <c r="AM9" s="27" t="s">
        <v>29</v>
      </c>
      <c r="AN9" s="28"/>
      <c r="AO9" s="27" t="s">
        <v>23</v>
      </c>
      <c r="AP9" s="28"/>
      <c r="AQ9" s="29" t="s">
        <v>75</v>
      </c>
      <c r="AR9" s="27" t="s">
        <v>31</v>
      </c>
      <c r="AS9" s="27" t="s">
        <v>32</v>
      </c>
      <c r="AT9" s="30"/>
      <c r="AU9" s="27" t="s">
        <v>29</v>
      </c>
      <c r="AV9" s="28"/>
      <c r="AW9" s="27" t="s">
        <v>23</v>
      </c>
      <c r="AX9" s="28"/>
      <c r="AY9" s="29" t="s">
        <v>75</v>
      </c>
      <c r="AZ9" s="27" t="s">
        <v>31</v>
      </c>
      <c r="BA9" s="27" t="s">
        <v>32</v>
      </c>
    </row>
    <row r="10" spans="1:54" ht="15" customHeight="1" x14ac:dyDescent="0.25">
      <c r="A10" s="31"/>
      <c r="B10" s="31"/>
      <c r="C10" s="31"/>
      <c r="D10" s="31"/>
      <c r="E10" s="31"/>
      <c r="F10" s="31"/>
      <c r="G10" s="31"/>
      <c r="H10" s="31"/>
      <c r="S10" s="31"/>
      <c r="T10" s="31"/>
      <c r="U10" s="31"/>
      <c r="V10" s="31"/>
      <c r="W10" s="31"/>
      <c r="X10" s="31"/>
      <c r="Y10" s="31"/>
      <c r="Z10" s="31"/>
      <c r="AK10" s="31"/>
      <c r="AL10" s="31"/>
      <c r="AM10" s="31"/>
      <c r="AN10" s="31"/>
      <c r="AO10" s="31"/>
      <c r="AP10" s="31"/>
      <c r="AQ10" s="31"/>
      <c r="AR10" s="31"/>
    </row>
    <row r="11" spans="1:54" ht="15" customHeight="1" x14ac:dyDescent="0.25">
      <c r="A11" s="32" t="s">
        <v>111</v>
      </c>
      <c r="B11" s="22"/>
      <c r="C11" s="31"/>
      <c r="D11" s="31"/>
      <c r="E11" s="31"/>
      <c r="F11" s="31"/>
      <c r="G11" s="31"/>
      <c r="H11" s="31"/>
      <c r="S11" s="32" t="s">
        <v>111</v>
      </c>
      <c r="T11" s="31"/>
      <c r="U11" s="31"/>
      <c r="V11" s="31"/>
      <c r="W11" s="31"/>
      <c r="X11" s="31"/>
      <c r="Y11" s="31"/>
      <c r="Z11" s="31"/>
      <c r="AK11" s="32" t="s">
        <v>111</v>
      </c>
      <c r="AL11" s="31"/>
      <c r="AM11" s="31"/>
      <c r="AN11" s="31"/>
      <c r="AO11" s="31"/>
      <c r="AP11" s="31"/>
      <c r="AQ11" s="31"/>
      <c r="AR11" s="31"/>
    </row>
    <row r="12" spans="1:54" ht="15" customHeight="1" x14ac:dyDescent="0.25">
      <c r="A12" s="33"/>
      <c r="B12" s="31"/>
      <c r="C12" s="227">
        <v>1</v>
      </c>
      <c r="D12" s="228">
        <f>C12+1</f>
        <v>2</v>
      </c>
      <c r="E12" s="228">
        <f t="shared" ref="E12:AZ12" si="0">D12+1</f>
        <v>3</v>
      </c>
      <c r="F12" s="228">
        <f t="shared" si="0"/>
        <v>4</v>
      </c>
      <c r="G12" s="228">
        <f t="shared" si="0"/>
        <v>5</v>
      </c>
      <c r="H12" s="228">
        <f t="shared" si="0"/>
        <v>6</v>
      </c>
      <c r="I12" s="228">
        <f t="shared" si="0"/>
        <v>7</v>
      </c>
      <c r="J12" s="228">
        <f t="shared" si="0"/>
        <v>8</v>
      </c>
      <c r="K12" s="228">
        <f t="shared" si="0"/>
        <v>9</v>
      </c>
      <c r="L12" s="228">
        <f t="shared" si="0"/>
        <v>10</v>
      </c>
      <c r="M12" s="228">
        <f t="shared" si="0"/>
        <v>11</v>
      </c>
      <c r="N12" s="228">
        <f t="shared" si="0"/>
        <v>12</v>
      </c>
      <c r="O12" s="228">
        <f t="shared" si="0"/>
        <v>13</v>
      </c>
      <c r="P12" s="228">
        <f t="shared" si="0"/>
        <v>14</v>
      </c>
      <c r="Q12" s="228">
        <f t="shared" si="0"/>
        <v>15</v>
      </c>
      <c r="R12" s="228">
        <f t="shared" si="0"/>
        <v>16</v>
      </c>
      <c r="S12" s="228">
        <f t="shared" si="0"/>
        <v>17</v>
      </c>
      <c r="T12" s="228">
        <f t="shared" si="0"/>
        <v>18</v>
      </c>
      <c r="U12" s="228">
        <f t="shared" si="0"/>
        <v>19</v>
      </c>
      <c r="V12" s="228">
        <f t="shared" si="0"/>
        <v>20</v>
      </c>
      <c r="W12" s="228">
        <f t="shared" si="0"/>
        <v>21</v>
      </c>
      <c r="X12" s="228">
        <f t="shared" si="0"/>
        <v>22</v>
      </c>
      <c r="Y12" s="228">
        <f t="shared" si="0"/>
        <v>23</v>
      </c>
      <c r="Z12" s="228">
        <f t="shared" si="0"/>
        <v>24</v>
      </c>
      <c r="AA12" s="228">
        <f t="shared" si="0"/>
        <v>25</v>
      </c>
      <c r="AB12" s="228">
        <f t="shared" si="0"/>
        <v>26</v>
      </c>
      <c r="AC12" s="228">
        <f t="shared" si="0"/>
        <v>27</v>
      </c>
      <c r="AD12" s="228">
        <f t="shared" si="0"/>
        <v>28</v>
      </c>
      <c r="AE12" s="228">
        <f t="shared" si="0"/>
        <v>29</v>
      </c>
      <c r="AF12" s="228">
        <f t="shared" si="0"/>
        <v>30</v>
      </c>
      <c r="AG12" s="228">
        <f t="shared" si="0"/>
        <v>31</v>
      </c>
      <c r="AH12" s="228">
        <f t="shared" si="0"/>
        <v>32</v>
      </c>
      <c r="AI12" s="228">
        <f t="shared" si="0"/>
        <v>33</v>
      </c>
      <c r="AJ12" s="228">
        <f t="shared" si="0"/>
        <v>34</v>
      </c>
      <c r="AK12" s="228">
        <f t="shared" si="0"/>
        <v>35</v>
      </c>
      <c r="AL12" s="228">
        <f t="shared" si="0"/>
        <v>36</v>
      </c>
      <c r="AM12" s="228">
        <f t="shared" si="0"/>
        <v>37</v>
      </c>
      <c r="AN12" s="228">
        <f t="shared" si="0"/>
        <v>38</v>
      </c>
      <c r="AO12" s="228">
        <f t="shared" si="0"/>
        <v>39</v>
      </c>
      <c r="AP12" s="228">
        <f t="shared" si="0"/>
        <v>40</v>
      </c>
      <c r="AQ12" s="228">
        <f t="shared" si="0"/>
        <v>41</v>
      </c>
      <c r="AR12" s="228">
        <f t="shared" si="0"/>
        <v>42</v>
      </c>
      <c r="AS12" s="228">
        <f t="shared" si="0"/>
        <v>43</v>
      </c>
      <c r="AT12" s="228">
        <f t="shared" si="0"/>
        <v>44</v>
      </c>
      <c r="AU12" s="228">
        <f t="shared" si="0"/>
        <v>45</v>
      </c>
      <c r="AV12" s="228">
        <f t="shared" si="0"/>
        <v>46</v>
      </c>
      <c r="AW12" s="228">
        <f t="shared" si="0"/>
        <v>47</v>
      </c>
      <c r="AX12" s="228">
        <f t="shared" si="0"/>
        <v>48</v>
      </c>
      <c r="AY12" s="228">
        <f t="shared" si="0"/>
        <v>49</v>
      </c>
      <c r="AZ12" s="228">
        <f t="shared" si="0"/>
        <v>50</v>
      </c>
      <c r="BA12" s="228">
        <f>AZ12+1</f>
        <v>51</v>
      </c>
    </row>
    <row r="13" spans="1:54" ht="15" customHeight="1" x14ac:dyDescent="0.25">
      <c r="A13" s="202" t="s">
        <v>24</v>
      </c>
      <c r="B13" s="197"/>
      <c r="C13" s="34"/>
      <c r="D13" s="35"/>
      <c r="E13" s="35"/>
      <c r="F13" s="35"/>
      <c r="G13" s="35"/>
      <c r="H13" s="34"/>
      <c r="J13" s="37"/>
      <c r="S13" s="202" t="s">
        <v>24</v>
      </c>
      <c r="T13" s="197"/>
      <c r="U13" s="34"/>
      <c r="V13" s="35"/>
      <c r="W13" s="35"/>
      <c r="X13" s="35"/>
      <c r="Y13" s="35"/>
      <c r="Z13" s="34"/>
      <c r="AB13" s="37"/>
      <c r="AK13" s="202" t="s">
        <v>24</v>
      </c>
      <c r="AL13" s="197"/>
      <c r="AM13" s="34"/>
      <c r="AN13" s="35"/>
      <c r="AO13" s="35"/>
      <c r="AP13" s="35"/>
      <c r="AQ13" s="35"/>
      <c r="AR13" s="34"/>
      <c r="AT13" s="37"/>
    </row>
    <row r="14" spans="1:54" ht="15" customHeight="1" x14ac:dyDescent="0.25">
      <c r="A14" s="38" t="s">
        <v>35</v>
      </c>
      <c r="B14" s="20">
        <v>1</v>
      </c>
      <c r="C14" s="39">
        <v>2390</v>
      </c>
      <c r="D14" s="39"/>
      <c r="E14" s="39">
        <v>1280</v>
      </c>
      <c r="F14" s="39"/>
      <c r="G14" s="39">
        <v>1110</v>
      </c>
      <c r="H14" s="39">
        <v>320</v>
      </c>
      <c r="I14" s="39">
        <v>790</v>
      </c>
      <c r="J14" s="40"/>
      <c r="K14" s="45">
        <v>51</v>
      </c>
      <c r="L14" s="229"/>
      <c r="M14" s="45">
        <v>69</v>
      </c>
      <c r="N14" s="229"/>
      <c r="O14" s="45">
        <v>30</v>
      </c>
      <c r="P14" s="45">
        <v>18</v>
      </c>
      <c r="Q14" s="45">
        <v>35</v>
      </c>
      <c r="S14" s="38" t="s">
        <v>35</v>
      </c>
      <c r="T14" s="31"/>
      <c r="U14" s="39">
        <v>1190</v>
      </c>
      <c r="V14" s="39"/>
      <c r="W14" s="39">
        <v>560</v>
      </c>
      <c r="X14" s="39"/>
      <c r="Y14" s="39">
        <v>630</v>
      </c>
      <c r="Z14" s="39">
        <v>200</v>
      </c>
      <c r="AA14" s="39">
        <v>430</v>
      </c>
      <c r="AB14" s="40"/>
      <c r="AC14" s="45">
        <v>50</v>
      </c>
      <c r="AD14" s="229"/>
      <c r="AE14" s="45">
        <v>70</v>
      </c>
      <c r="AF14" s="229"/>
      <c r="AG14" s="45">
        <v>33</v>
      </c>
      <c r="AH14" s="45">
        <v>22</v>
      </c>
      <c r="AI14" s="45">
        <v>38</v>
      </c>
      <c r="AK14" s="38" t="s">
        <v>35</v>
      </c>
      <c r="AL14" s="31"/>
      <c r="AM14" s="39">
        <v>1200</v>
      </c>
      <c r="AN14" s="39"/>
      <c r="AO14" s="39">
        <v>720</v>
      </c>
      <c r="AP14" s="39"/>
      <c r="AQ14" s="39">
        <v>480</v>
      </c>
      <c r="AR14" s="39">
        <v>130</v>
      </c>
      <c r="AS14" s="39">
        <v>360</v>
      </c>
      <c r="AT14" s="40"/>
      <c r="AU14" s="45">
        <v>51</v>
      </c>
      <c r="AV14" s="229"/>
      <c r="AW14" s="45">
        <v>68</v>
      </c>
      <c r="AX14" s="229"/>
      <c r="AY14" s="45">
        <v>27</v>
      </c>
      <c r="AZ14" s="45">
        <v>12</v>
      </c>
      <c r="BA14" s="45">
        <v>32</v>
      </c>
    </row>
    <row r="15" spans="1:54" ht="15" customHeight="1" x14ac:dyDescent="0.25">
      <c r="A15" s="38" t="s">
        <v>36</v>
      </c>
      <c r="B15" s="20">
        <f>B14+1</f>
        <v>2</v>
      </c>
      <c r="C15" s="39">
        <v>2390</v>
      </c>
      <c r="D15" s="39"/>
      <c r="E15" s="39">
        <v>1280</v>
      </c>
      <c r="F15" s="39"/>
      <c r="G15" s="39">
        <v>1110</v>
      </c>
      <c r="H15" s="39">
        <v>320</v>
      </c>
      <c r="I15" s="39">
        <v>790</v>
      </c>
      <c r="J15" s="40"/>
      <c r="K15" s="45">
        <v>50</v>
      </c>
      <c r="L15" s="229"/>
      <c r="M15" s="45">
        <v>73</v>
      </c>
      <c r="N15" s="229"/>
      <c r="O15" s="45">
        <v>24</v>
      </c>
      <c r="P15" s="45">
        <v>12</v>
      </c>
      <c r="Q15" s="45">
        <v>29</v>
      </c>
      <c r="S15" s="38" t="s">
        <v>36</v>
      </c>
      <c r="T15" s="31"/>
      <c r="U15" s="39">
        <v>1190</v>
      </c>
      <c r="V15" s="39"/>
      <c r="W15" s="39">
        <v>560</v>
      </c>
      <c r="X15" s="39"/>
      <c r="Y15" s="39">
        <v>630</v>
      </c>
      <c r="Z15" s="39">
        <v>200</v>
      </c>
      <c r="AA15" s="39">
        <v>430</v>
      </c>
      <c r="AB15" s="40"/>
      <c r="AC15" s="45">
        <v>45</v>
      </c>
      <c r="AD15" s="229"/>
      <c r="AE15" s="45">
        <v>69</v>
      </c>
      <c r="AF15" s="229"/>
      <c r="AG15" s="45">
        <v>23</v>
      </c>
      <c r="AH15" s="45">
        <v>13</v>
      </c>
      <c r="AI15" s="45">
        <v>28</v>
      </c>
      <c r="AK15" s="38" t="s">
        <v>36</v>
      </c>
      <c r="AL15" s="31"/>
      <c r="AM15" s="39">
        <v>1200</v>
      </c>
      <c r="AN15" s="39"/>
      <c r="AO15" s="39">
        <v>720</v>
      </c>
      <c r="AP15" s="39"/>
      <c r="AQ15" s="39">
        <v>480</v>
      </c>
      <c r="AR15" s="39">
        <v>120</v>
      </c>
      <c r="AS15" s="39">
        <v>360</v>
      </c>
      <c r="AT15" s="40"/>
      <c r="AU15" s="45">
        <v>56</v>
      </c>
      <c r="AV15" s="229"/>
      <c r="AW15" s="45">
        <v>76</v>
      </c>
      <c r="AX15" s="229"/>
      <c r="AY15" s="45">
        <v>26</v>
      </c>
      <c r="AZ15" s="45">
        <v>11</v>
      </c>
      <c r="BA15" s="45">
        <v>31</v>
      </c>
    </row>
    <row r="16" spans="1:54" ht="15" customHeight="1" x14ac:dyDescent="0.25">
      <c r="A16" s="38" t="s">
        <v>34</v>
      </c>
      <c r="B16" s="20">
        <f t="shared" ref="B16:B45" si="1">B15+1</f>
        <v>3</v>
      </c>
      <c r="C16" s="39">
        <v>2390</v>
      </c>
      <c r="D16" s="39"/>
      <c r="E16" s="39">
        <v>1280</v>
      </c>
      <c r="F16" s="39"/>
      <c r="G16" s="39">
        <v>1110</v>
      </c>
      <c r="H16" s="39">
        <v>320</v>
      </c>
      <c r="I16" s="39">
        <v>790</v>
      </c>
      <c r="J16" s="40"/>
      <c r="K16" s="45">
        <v>46</v>
      </c>
      <c r="L16" s="229"/>
      <c r="M16" s="45">
        <v>63</v>
      </c>
      <c r="N16" s="229"/>
      <c r="O16" s="45">
        <v>26</v>
      </c>
      <c r="P16" s="45">
        <v>13</v>
      </c>
      <c r="Q16" s="45">
        <v>31</v>
      </c>
      <c r="S16" s="38" t="s">
        <v>34</v>
      </c>
      <c r="T16" s="31"/>
      <c r="U16" s="39">
        <v>1190</v>
      </c>
      <c r="V16" s="39"/>
      <c r="W16" s="39">
        <v>560</v>
      </c>
      <c r="X16" s="39"/>
      <c r="Y16" s="39">
        <v>630</v>
      </c>
      <c r="Z16" s="39">
        <v>200</v>
      </c>
      <c r="AA16" s="39">
        <v>430</v>
      </c>
      <c r="AB16" s="40"/>
      <c r="AC16" s="45">
        <v>49</v>
      </c>
      <c r="AD16" s="229"/>
      <c r="AE16" s="45">
        <v>69</v>
      </c>
      <c r="AF16" s="229"/>
      <c r="AG16" s="45">
        <v>30</v>
      </c>
      <c r="AH16" s="45">
        <v>17</v>
      </c>
      <c r="AI16" s="45">
        <v>37</v>
      </c>
      <c r="AK16" s="38" t="s">
        <v>34</v>
      </c>
      <c r="AL16" s="31"/>
      <c r="AM16" s="39">
        <v>1200</v>
      </c>
      <c r="AN16" s="39"/>
      <c r="AO16" s="39">
        <v>720</v>
      </c>
      <c r="AP16" s="39"/>
      <c r="AQ16" s="39">
        <v>480</v>
      </c>
      <c r="AR16" s="39">
        <v>130</v>
      </c>
      <c r="AS16" s="39">
        <v>360</v>
      </c>
      <c r="AT16" s="40"/>
      <c r="AU16" s="45">
        <v>43</v>
      </c>
      <c r="AV16" s="229"/>
      <c r="AW16" s="45">
        <v>59</v>
      </c>
      <c r="AX16" s="229"/>
      <c r="AY16" s="45">
        <v>19</v>
      </c>
      <c r="AZ16" s="45">
        <v>6</v>
      </c>
      <c r="BA16" s="45">
        <v>24</v>
      </c>
    </row>
    <row r="17" spans="1:53" ht="15" customHeight="1" x14ac:dyDescent="0.25">
      <c r="A17" s="38" t="s">
        <v>37</v>
      </c>
      <c r="B17" s="20">
        <f t="shared" si="1"/>
        <v>4</v>
      </c>
      <c r="C17" s="39">
        <v>2390</v>
      </c>
      <c r="D17" s="39"/>
      <c r="E17" s="39">
        <v>1280</v>
      </c>
      <c r="F17" s="39"/>
      <c r="G17" s="39">
        <v>1110</v>
      </c>
      <c r="H17" s="39">
        <v>320</v>
      </c>
      <c r="I17" s="39">
        <v>790</v>
      </c>
      <c r="J17" s="40"/>
      <c r="K17" s="45">
        <v>52</v>
      </c>
      <c r="L17" s="229"/>
      <c r="M17" s="45">
        <v>73</v>
      </c>
      <c r="N17" s="229"/>
      <c r="O17" s="45">
        <v>28</v>
      </c>
      <c r="P17" s="45">
        <v>17</v>
      </c>
      <c r="Q17" s="45">
        <v>32</v>
      </c>
      <c r="S17" s="38" t="s">
        <v>37</v>
      </c>
      <c r="T17" s="31"/>
      <c r="U17" s="39">
        <v>1190</v>
      </c>
      <c r="V17" s="39"/>
      <c r="W17" s="39">
        <v>560</v>
      </c>
      <c r="X17" s="39"/>
      <c r="Y17" s="39">
        <v>630</v>
      </c>
      <c r="Z17" s="39">
        <v>200</v>
      </c>
      <c r="AA17" s="39">
        <v>430</v>
      </c>
      <c r="AB17" s="40"/>
      <c r="AC17" s="45">
        <v>47</v>
      </c>
      <c r="AD17" s="229"/>
      <c r="AE17" s="45">
        <v>70</v>
      </c>
      <c r="AF17" s="229"/>
      <c r="AG17" s="45">
        <v>27</v>
      </c>
      <c r="AH17" s="45">
        <v>18</v>
      </c>
      <c r="AI17" s="45">
        <v>31</v>
      </c>
      <c r="AK17" s="38" t="s">
        <v>37</v>
      </c>
      <c r="AL17" s="31"/>
      <c r="AM17" s="39">
        <v>1200</v>
      </c>
      <c r="AN17" s="39"/>
      <c r="AO17" s="39">
        <v>720</v>
      </c>
      <c r="AP17" s="39"/>
      <c r="AQ17" s="39">
        <v>480</v>
      </c>
      <c r="AR17" s="39">
        <v>130</v>
      </c>
      <c r="AS17" s="39">
        <v>360</v>
      </c>
      <c r="AT17" s="40"/>
      <c r="AU17" s="45">
        <v>56</v>
      </c>
      <c r="AV17" s="229"/>
      <c r="AW17" s="45">
        <v>74</v>
      </c>
      <c r="AX17" s="229"/>
      <c r="AY17" s="45">
        <v>29</v>
      </c>
      <c r="AZ17" s="45">
        <v>15</v>
      </c>
      <c r="BA17" s="45">
        <v>34</v>
      </c>
    </row>
    <row r="18" spans="1:53" ht="15" customHeight="1" x14ac:dyDescent="0.25">
      <c r="A18" s="38" t="s">
        <v>38</v>
      </c>
      <c r="B18" s="20">
        <f t="shared" si="1"/>
        <v>5</v>
      </c>
      <c r="C18" s="39">
        <v>2390</v>
      </c>
      <c r="D18" s="39"/>
      <c r="E18" s="39">
        <v>1280</v>
      </c>
      <c r="F18" s="39"/>
      <c r="G18" s="39">
        <v>1110</v>
      </c>
      <c r="H18" s="39">
        <v>320</v>
      </c>
      <c r="I18" s="39">
        <v>790</v>
      </c>
      <c r="J18" s="40"/>
      <c r="K18" s="45">
        <v>31</v>
      </c>
      <c r="L18" s="229"/>
      <c r="M18" s="45">
        <v>48</v>
      </c>
      <c r="N18" s="229"/>
      <c r="O18" s="45">
        <v>12</v>
      </c>
      <c r="P18" s="45">
        <v>5</v>
      </c>
      <c r="Q18" s="45">
        <v>15</v>
      </c>
      <c r="S18" s="38" t="s">
        <v>38</v>
      </c>
      <c r="T18" s="31"/>
      <c r="U18" s="39">
        <v>1190</v>
      </c>
      <c r="V18" s="39"/>
      <c r="W18" s="39">
        <v>560</v>
      </c>
      <c r="X18" s="39"/>
      <c r="Y18" s="39">
        <v>630</v>
      </c>
      <c r="Z18" s="39">
        <v>200</v>
      </c>
      <c r="AA18" s="39">
        <v>430</v>
      </c>
      <c r="AB18" s="40"/>
      <c r="AC18" s="45">
        <v>29</v>
      </c>
      <c r="AD18" s="229"/>
      <c r="AE18" s="45">
        <v>48</v>
      </c>
      <c r="AF18" s="229"/>
      <c r="AG18" s="45">
        <v>13</v>
      </c>
      <c r="AH18" s="45">
        <v>7</v>
      </c>
      <c r="AI18" s="45">
        <v>16</v>
      </c>
      <c r="AK18" s="38" t="s">
        <v>38</v>
      </c>
      <c r="AL18" s="31"/>
      <c r="AM18" s="39">
        <v>1200</v>
      </c>
      <c r="AN18" s="39"/>
      <c r="AO18" s="39">
        <v>720</v>
      </c>
      <c r="AP18" s="39"/>
      <c r="AQ18" s="39">
        <v>480</v>
      </c>
      <c r="AR18" s="39">
        <v>120</v>
      </c>
      <c r="AS18" s="39">
        <v>360</v>
      </c>
      <c r="AT18" s="40"/>
      <c r="AU18" s="45">
        <v>33</v>
      </c>
      <c r="AV18" s="229"/>
      <c r="AW18" s="45">
        <v>48</v>
      </c>
      <c r="AX18" s="229"/>
      <c r="AY18" s="45">
        <v>11</v>
      </c>
      <c r="AZ18" s="45" t="s">
        <v>52</v>
      </c>
      <c r="BA18" s="45">
        <v>13</v>
      </c>
    </row>
    <row r="19" spans="1:53" ht="15" customHeight="1" x14ac:dyDescent="0.25">
      <c r="A19" s="41"/>
      <c r="B19" s="20">
        <f t="shared" si="1"/>
        <v>6</v>
      </c>
      <c r="C19" s="42"/>
      <c r="D19" s="42"/>
      <c r="E19" s="42"/>
      <c r="F19" s="42"/>
      <c r="G19" s="42"/>
      <c r="H19" s="42"/>
      <c r="I19" s="43"/>
      <c r="J19" s="43"/>
      <c r="K19" s="43"/>
      <c r="L19" s="43"/>
      <c r="M19" s="43"/>
      <c r="N19" s="43"/>
      <c r="O19" s="43"/>
      <c r="P19" s="43"/>
      <c r="Q19" s="43"/>
      <c r="S19" s="41"/>
      <c r="T19" s="41"/>
      <c r="U19" s="42"/>
      <c r="V19" s="42"/>
      <c r="W19" s="42"/>
      <c r="X19" s="42"/>
      <c r="Y19" s="42"/>
      <c r="Z19" s="42"/>
      <c r="AA19" s="43"/>
      <c r="AB19" s="43"/>
      <c r="AC19" s="43"/>
      <c r="AD19" s="43"/>
      <c r="AE19" s="43"/>
      <c r="AF19" s="43"/>
      <c r="AG19" s="43"/>
      <c r="AH19" s="43"/>
      <c r="AI19" s="43"/>
      <c r="AK19" s="41"/>
      <c r="AL19" s="41"/>
      <c r="AM19" s="42"/>
      <c r="AN19" s="42"/>
      <c r="AO19" s="42"/>
      <c r="AP19" s="42"/>
      <c r="AQ19" s="42"/>
      <c r="AR19" s="42"/>
      <c r="AS19" s="43"/>
      <c r="AT19" s="43"/>
      <c r="AU19" s="43"/>
      <c r="AV19" s="43"/>
      <c r="AW19" s="43"/>
      <c r="AX19" s="43"/>
      <c r="AY19" s="43"/>
      <c r="AZ19" s="43"/>
      <c r="BA19" s="43"/>
    </row>
    <row r="20" spans="1:53" ht="15" customHeight="1" x14ac:dyDescent="0.25">
      <c r="A20" s="32" t="s">
        <v>112</v>
      </c>
      <c r="B20" s="20">
        <f t="shared" si="1"/>
        <v>7</v>
      </c>
      <c r="C20" s="42"/>
      <c r="D20" s="42"/>
      <c r="E20" s="42"/>
      <c r="F20" s="42"/>
      <c r="G20" s="42"/>
      <c r="H20" s="42"/>
      <c r="I20" s="43"/>
      <c r="J20" s="43"/>
      <c r="K20" s="43"/>
      <c r="L20" s="43"/>
      <c r="M20" s="43"/>
      <c r="N20" s="43"/>
      <c r="O20" s="43"/>
      <c r="P20" s="43"/>
      <c r="Q20" s="43"/>
      <c r="S20" s="32" t="s">
        <v>112</v>
      </c>
      <c r="T20" s="31"/>
      <c r="U20" s="42"/>
      <c r="V20" s="42"/>
      <c r="W20" s="42"/>
      <c r="X20" s="42"/>
      <c r="Y20" s="42"/>
      <c r="Z20" s="42"/>
      <c r="AA20" s="43"/>
      <c r="AB20" s="43"/>
      <c r="AC20" s="43"/>
      <c r="AD20" s="43"/>
      <c r="AE20" s="43"/>
      <c r="AF20" s="43"/>
      <c r="AG20" s="43"/>
      <c r="AH20" s="43"/>
      <c r="AI20" s="43"/>
      <c r="AK20" s="32" t="s">
        <v>112</v>
      </c>
      <c r="AL20" s="31"/>
      <c r="AM20" s="42"/>
      <c r="AN20" s="42"/>
      <c r="AO20" s="42"/>
      <c r="AP20" s="42"/>
      <c r="AQ20" s="42"/>
      <c r="AR20" s="42"/>
      <c r="AS20" s="43"/>
      <c r="AT20" s="43"/>
      <c r="AU20" s="43"/>
      <c r="AV20" s="43"/>
      <c r="AW20" s="43"/>
      <c r="AX20" s="43"/>
      <c r="AY20" s="43"/>
      <c r="AZ20" s="43"/>
      <c r="BA20" s="43"/>
    </row>
    <row r="21" spans="1:53" ht="15" customHeight="1" x14ac:dyDescent="0.25">
      <c r="A21" s="44"/>
      <c r="B21" s="20">
        <f t="shared" si="1"/>
        <v>8</v>
      </c>
      <c r="C21" s="42"/>
      <c r="D21" s="42"/>
      <c r="E21" s="42"/>
      <c r="F21" s="42"/>
      <c r="G21" s="42"/>
      <c r="H21" s="42"/>
      <c r="I21" s="43"/>
      <c r="J21" s="43"/>
      <c r="K21" s="43"/>
      <c r="L21" s="43"/>
      <c r="M21" s="43"/>
      <c r="N21" s="43"/>
      <c r="O21" s="43"/>
      <c r="P21" s="43"/>
      <c r="Q21" s="43"/>
      <c r="S21" s="44"/>
      <c r="T21" s="31"/>
      <c r="U21" s="42"/>
      <c r="V21" s="42"/>
      <c r="W21" s="42"/>
      <c r="X21" s="42"/>
      <c r="Y21" s="42"/>
      <c r="Z21" s="42"/>
      <c r="AA21" s="43"/>
      <c r="AB21" s="43"/>
      <c r="AC21" s="43"/>
      <c r="AD21" s="43"/>
      <c r="AE21" s="43"/>
      <c r="AF21" s="43"/>
      <c r="AG21" s="43"/>
      <c r="AH21" s="43"/>
      <c r="AI21" s="43"/>
      <c r="AK21" s="44"/>
      <c r="AL21" s="31"/>
      <c r="AM21" s="42"/>
      <c r="AN21" s="42"/>
      <c r="AO21" s="42"/>
      <c r="AP21" s="42"/>
      <c r="AQ21" s="42"/>
      <c r="AR21" s="42"/>
      <c r="AS21" s="43"/>
      <c r="AT21" s="43"/>
      <c r="AU21" s="43"/>
      <c r="AV21" s="43"/>
      <c r="AW21" s="43"/>
      <c r="AX21" s="43"/>
      <c r="AY21" s="43"/>
      <c r="AZ21" s="43"/>
      <c r="BA21" s="43"/>
    </row>
    <row r="22" spans="1:53" ht="15" customHeight="1" x14ac:dyDescent="0.25">
      <c r="A22" s="202" t="s">
        <v>24</v>
      </c>
      <c r="B22" s="20">
        <f t="shared" si="1"/>
        <v>9</v>
      </c>
      <c r="C22" s="45"/>
      <c r="D22" s="45"/>
      <c r="E22" s="45"/>
      <c r="F22" s="45"/>
      <c r="G22" s="45"/>
      <c r="H22" s="45"/>
      <c r="I22" s="43"/>
      <c r="J22" s="43"/>
      <c r="K22" s="43"/>
      <c r="L22" s="43"/>
      <c r="M22" s="43"/>
      <c r="N22" s="43"/>
      <c r="O22" s="43"/>
      <c r="P22" s="43"/>
      <c r="Q22" s="43"/>
      <c r="S22" s="202" t="s">
        <v>24</v>
      </c>
      <c r="T22" s="197"/>
      <c r="U22" s="45"/>
      <c r="V22" s="45"/>
      <c r="W22" s="45"/>
      <c r="X22" s="45"/>
      <c r="Y22" s="45"/>
      <c r="Z22" s="45"/>
      <c r="AA22" s="43"/>
      <c r="AB22" s="43"/>
      <c r="AC22" s="43"/>
      <c r="AD22" s="43"/>
      <c r="AE22" s="43"/>
      <c r="AF22" s="43"/>
      <c r="AG22" s="43"/>
      <c r="AH22" s="43"/>
      <c r="AI22" s="43"/>
      <c r="AK22" s="202" t="s">
        <v>24</v>
      </c>
      <c r="AL22" s="197"/>
      <c r="AM22" s="45"/>
      <c r="AN22" s="45"/>
      <c r="AO22" s="45"/>
      <c r="AP22" s="45"/>
      <c r="AQ22" s="45"/>
      <c r="AR22" s="45"/>
      <c r="AS22" s="43"/>
      <c r="AT22" s="43"/>
      <c r="AU22" s="43"/>
      <c r="AV22" s="43"/>
      <c r="AW22" s="43"/>
      <c r="AX22" s="43"/>
      <c r="AY22" s="43"/>
      <c r="AZ22" s="43"/>
      <c r="BA22" s="43"/>
    </row>
    <row r="23" spans="1:53" ht="15" customHeight="1" x14ac:dyDescent="0.25">
      <c r="A23" s="38" t="s">
        <v>35</v>
      </c>
      <c r="B23" s="20">
        <f t="shared" si="1"/>
        <v>10</v>
      </c>
      <c r="C23" s="39">
        <v>870</v>
      </c>
      <c r="D23" s="39"/>
      <c r="E23" s="39">
        <v>470</v>
      </c>
      <c r="F23" s="39"/>
      <c r="G23" s="39">
        <v>390</v>
      </c>
      <c r="H23" s="39">
        <v>90</v>
      </c>
      <c r="I23" s="39">
        <v>310</v>
      </c>
      <c r="J23" s="40"/>
      <c r="K23" s="45">
        <v>46</v>
      </c>
      <c r="L23" s="229"/>
      <c r="M23" s="45">
        <v>65</v>
      </c>
      <c r="N23" s="229"/>
      <c r="O23" s="45">
        <v>22</v>
      </c>
      <c r="P23" s="45" t="s">
        <v>52</v>
      </c>
      <c r="Q23" s="45">
        <v>27</v>
      </c>
      <c r="S23" s="38" t="s">
        <v>35</v>
      </c>
      <c r="T23" s="31"/>
      <c r="U23" s="39">
        <v>420</v>
      </c>
      <c r="V23" s="39"/>
      <c r="W23" s="39">
        <v>200</v>
      </c>
      <c r="X23" s="39"/>
      <c r="Y23" s="39">
        <v>220</v>
      </c>
      <c r="Z23" s="39">
        <v>60</v>
      </c>
      <c r="AA23" s="39">
        <v>160</v>
      </c>
      <c r="AB23" s="40"/>
      <c r="AC23" s="45">
        <v>45</v>
      </c>
      <c r="AD23" s="229"/>
      <c r="AE23" s="45">
        <v>67</v>
      </c>
      <c r="AF23" s="229"/>
      <c r="AG23" s="45">
        <v>25</v>
      </c>
      <c r="AH23" s="45" t="s">
        <v>52</v>
      </c>
      <c r="AI23" s="45">
        <v>32</v>
      </c>
      <c r="AK23" s="38" t="s">
        <v>35</v>
      </c>
      <c r="AL23" s="31"/>
      <c r="AM23" s="39">
        <v>450</v>
      </c>
      <c r="AN23" s="39"/>
      <c r="AO23" s="39">
        <v>270</v>
      </c>
      <c r="AP23" s="39"/>
      <c r="AQ23" s="39">
        <v>170</v>
      </c>
      <c r="AR23" s="39">
        <v>30</v>
      </c>
      <c r="AS23" s="39">
        <v>150</v>
      </c>
      <c r="AT23" s="40"/>
      <c r="AU23" s="45">
        <v>46</v>
      </c>
      <c r="AV23" s="229"/>
      <c r="AW23" s="45">
        <v>63</v>
      </c>
      <c r="AX23" s="229"/>
      <c r="AY23" s="45">
        <v>20</v>
      </c>
      <c r="AZ23" s="45" t="s">
        <v>52</v>
      </c>
      <c r="BA23" s="45">
        <v>22</v>
      </c>
    </row>
    <row r="24" spans="1:53" ht="15" customHeight="1" x14ac:dyDescent="0.25">
      <c r="A24" s="38" t="s">
        <v>36</v>
      </c>
      <c r="B24" s="20">
        <f t="shared" si="1"/>
        <v>11</v>
      </c>
      <c r="C24" s="39">
        <v>860</v>
      </c>
      <c r="D24" s="39"/>
      <c r="E24" s="39">
        <v>470</v>
      </c>
      <c r="F24" s="39"/>
      <c r="G24" s="39">
        <v>390</v>
      </c>
      <c r="H24" s="39">
        <v>90</v>
      </c>
      <c r="I24" s="39">
        <v>310</v>
      </c>
      <c r="J24" s="40"/>
      <c r="K24" s="45">
        <v>50</v>
      </c>
      <c r="L24" s="229"/>
      <c r="M24" s="45">
        <v>72</v>
      </c>
      <c r="N24" s="229"/>
      <c r="O24" s="45">
        <v>22</v>
      </c>
      <c r="P24" s="45">
        <v>9</v>
      </c>
      <c r="Q24" s="45">
        <v>26</v>
      </c>
      <c r="S24" s="38" t="s">
        <v>36</v>
      </c>
      <c r="T24" s="31"/>
      <c r="U24" s="39">
        <v>420</v>
      </c>
      <c r="V24" s="39"/>
      <c r="W24" s="39">
        <v>200</v>
      </c>
      <c r="X24" s="39"/>
      <c r="Y24" s="39">
        <v>220</v>
      </c>
      <c r="Z24" s="39">
        <v>60</v>
      </c>
      <c r="AA24" s="39">
        <v>160</v>
      </c>
      <c r="AB24" s="40"/>
      <c r="AC24" s="45">
        <v>45</v>
      </c>
      <c r="AD24" s="229"/>
      <c r="AE24" s="45">
        <v>69</v>
      </c>
      <c r="AF24" s="229"/>
      <c r="AG24" s="45">
        <v>22</v>
      </c>
      <c r="AH24" s="45">
        <v>11</v>
      </c>
      <c r="AI24" s="45">
        <v>27</v>
      </c>
      <c r="AK24" s="38" t="s">
        <v>36</v>
      </c>
      <c r="AL24" s="31"/>
      <c r="AM24" s="39">
        <v>450</v>
      </c>
      <c r="AN24" s="39"/>
      <c r="AO24" s="39">
        <v>270</v>
      </c>
      <c r="AP24" s="39"/>
      <c r="AQ24" s="39">
        <v>170</v>
      </c>
      <c r="AR24" s="39">
        <v>20</v>
      </c>
      <c r="AS24" s="39">
        <v>150</v>
      </c>
      <c r="AT24" s="40"/>
      <c r="AU24" s="45">
        <v>54</v>
      </c>
      <c r="AV24" s="229"/>
      <c r="AW24" s="45">
        <v>75</v>
      </c>
      <c r="AX24" s="229"/>
      <c r="AY24" s="45">
        <v>22</v>
      </c>
      <c r="AZ24" s="45" t="s">
        <v>52</v>
      </c>
      <c r="BA24" s="45">
        <v>24</v>
      </c>
    </row>
    <row r="25" spans="1:53" ht="15" customHeight="1" x14ac:dyDescent="0.25">
      <c r="A25" s="38" t="s">
        <v>34</v>
      </c>
      <c r="B25" s="20">
        <f t="shared" si="1"/>
        <v>12</v>
      </c>
      <c r="C25" s="39">
        <v>870</v>
      </c>
      <c r="D25" s="39"/>
      <c r="E25" s="39">
        <v>470</v>
      </c>
      <c r="F25" s="39"/>
      <c r="G25" s="39">
        <v>390</v>
      </c>
      <c r="H25" s="39">
        <v>90</v>
      </c>
      <c r="I25" s="39">
        <v>310</v>
      </c>
      <c r="J25" s="40"/>
      <c r="K25" s="45">
        <v>43</v>
      </c>
      <c r="L25" s="229"/>
      <c r="M25" s="45">
        <v>60</v>
      </c>
      <c r="N25" s="229"/>
      <c r="O25" s="45">
        <v>23</v>
      </c>
      <c r="P25" s="45">
        <v>7</v>
      </c>
      <c r="Q25" s="45">
        <v>27</v>
      </c>
      <c r="S25" s="38" t="s">
        <v>34</v>
      </c>
      <c r="T25" s="31"/>
      <c r="U25" s="39">
        <v>420</v>
      </c>
      <c r="V25" s="39"/>
      <c r="W25" s="39">
        <v>200</v>
      </c>
      <c r="X25" s="39"/>
      <c r="Y25" s="39">
        <v>220</v>
      </c>
      <c r="Z25" s="39">
        <v>60</v>
      </c>
      <c r="AA25" s="39">
        <v>160</v>
      </c>
      <c r="AB25" s="40"/>
      <c r="AC25" s="45">
        <v>46</v>
      </c>
      <c r="AD25" s="229"/>
      <c r="AE25" s="45">
        <v>67</v>
      </c>
      <c r="AF25" s="229"/>
      <c r="AG25" s="45">
        <v>27</v>
      </c>
      <c r="AH25" s="45">
        <v>10</v>
      </c>
      <c r="AI25" s="45">
        <v>34</v>
      </c>
      <c r="AK25" s="38" t="s">
        <v>34</v>
      </c>
      <c r="AL25" s="31"/>
      <c r="AM25" s="39">
        <v>450</v>
      </c>
      <c r="AN25" s="39"/>
      <c r="AO25" s="39">
        <v>270</v>
      </c>
      <c r="AP25" s="39"/>
      <c r="AQ25" s="39">
        <v>170</v>
      </c>
      <c r="AR25" s="39">
        <v>30</v>
      </c>
      <c r="AS25" s="39">
        <v>150</v>
      </c>
      <c r="AT25" s="40"/>
      <c r="AU25" s="45">
        <v>40</v>
      </c>
      <c r="AV25" s="229"/>
      <c r="AW25" s="45">
        <v>55</v>
      </c>
      <c r="AX25" s="229"/>
      <c r="AY25" s="45">
        <v>17</v>
      </c>
      <c r="AZ25" s="45" t="s">
        <v>52</v>
      </c>
      <c r="BA25" s="45">
        <v>20</v>
      </c>
    </row>
    <row r="26" spans="1:53" ht="15" customHeight="1" x14ac:dyDescent="0.25">
      <c r="A26" s="38" t="s">
        <v>37</v>
      </c>
      <c r="B26" s="20">
        <f t="shared" si="1"/>
        <v>13</v>
      </c>
      <c r="C26" s="39">
        <v>870</v>
      </c>
      <c r="D26" s="39"/>
      <c r="E26" s="39">
        <v>470</v>
      </c>
      <c r="F26" s="39"/>
      <c r="G26" s="39">
        <v>390</v>
      </c>
      <c r="H26" s="39">
        <v>90</v>
      </c>
      <c r="I26" s="39">
        <v>310</v>
      </c>
      <c r="J26" s="40"/>
      <c r="K26" s="45">
        <v>47</v>
      </c>
      <c r="L26" s="229"/>
      <c r="M26" s="45">
        <v>69</v>
      </c>
      <c r="N26" s="229"/>
      <c r="O26" s="45">
        <v>21</v>
      </c>
      <c r="P26" s="45">
        <v>8</v>
      </c>
      <c r="Q26" s="45">
        <v>25</v>
      </c>
      <c r="S26" s="38" t="s">
        <v>37</v>
      </c>
      <c r="T26" s="31"/>
      <c r="U26" s="39">
        <v>420</v>
      </c>
      <c r="V26" s="39"/>
      <c r="W26" s="39">
        <v>200</v>
      </c>
      <c r="X26" s="39"/>
      <c r="Y26" s="39">
        <v>220</v>
      </c>
      <c r="Z26" s="39">
        <v>60</v>
      </c>
      <c r="AA26" s="39">
        <v>160</v>
      </c>
      <c r="AB26" s="40"/>
      <c r="AC26" s="45">
        <v>45</v>
      </c>
      <c r="AD26" s="229"/>
      <c r="AE26" s="45">
        <v>68</v>
      </c>
      <c r="AF26" s="229"/>
      <c r="AG26" s="45">
        <v>24</v>
      </c>
      <c r="AH26" s="45">
        <v>10</v>
      </c>
      <c r="AI26" s="45">
        <v>29</v>
      </c>
      <c r="AK26" s="38" t="s">
        <v>37</v>
      </c>
      <c r="AL26" s="31"/>
      <c r="AM26" s="39">
        <v>450</v>
      </c>
      <c r="AN26" s="39"/>
      <c r="AO26" s="39">
        <v>270</v>
      </c>
      <c r="AP26" s="39"/>
      <c r="AQ26" s="39">
        <v>170</v>
      </c>
      <c r="AR26" s="39">
        <v>30</v>
      </c>
      <c r="AS26" s="39">
        <v>150</v>
      </c>
      <c r="AT26" s="40"/>
      <c r="AU26" s="45">
        <v>50</v>
      </c>
      <c r="AV26" s="229"/>
      <c r="AW26" s="45">
        <v>71</v>
      </c>
      <c r="AX26" s="229"/>
      <c r="AY26" s="45">
        <v>17</v>
      </c>
      <c r="AZ26" s="45" t="s">
        <v>52</v>
      </c>
      <c r="BA26" s="45">
        <v>20</v>
      </c>
    </row>
    <row r="27" spans="1:53" ht="15" customHeight="1" x14ac:dyDescent="0.25">
      <c r="A27" s="38" t="s">
        <v>38</v>
      </c>
      <c r="B27" s="20">
        <f t="shared" si="1"/>
        <v>14</v>
      </c>
      <c r="C27" s="39">
        <v>860</v>
      </c>
      <c r="D27" s="39"/>
      <c r="E27" s="39">
        <v>470</v>
      </c>
      <c r="F27" s="39"/>
      <c r="G27" s="39">
        <v>390</v>
      </c>
      <c r="H27" s="39">
        <v>90</v>
      </c>
      <c r="I27" s="39">
        <v>310</v>
      </c>
      <c r="J27" s="40"/>
      <c r="K27" s="45">
        <v>27</v>
      </c>
      <c r="L27" s="229"/>
      <c r="M27" s="45">
        <v>44</v>
      </c>
      <c r="N27" s="229"/>
      <c r="O27" s="45">
        <v>8</v>
      </c>
      <c r="P27" s="45" t="s">
        <v>52</v>
      </c>
      <c r="Q27" s="45">
        <v>10</v>
      </c>
      <c r="S27" s="38" t="s">
        <v>38</v>
      </c>
      <c r="T27" s="31"/>
      <c r="U27" s="39">
        <v>420</v>
      </c>
      <c r="V27" s="39"/>
      <c r="W27" s="39">
        <v>200</v>
      </c>
      <c r="X27" s="39"/>
      <c r="Y27" s="39">
        <v>220</v>
      </c>
      <c r="Z27" s="39">
        <v>60</v>
      </c>
      <c r="AA27" s="39">
        <v>160</v>
      </c>
      <c r="AB27" s="40"/>
      <c r="AC27" s="45">
        <v>27</v>
      </c>
      <c r="AD27" s="229"/>
      <c r="AE27" s="45">
        <v>47</v>
      </c>
      <c r="AF27" s="229"/>
      <c r="AG27" s="45">
        <v>8</v>
      </c>
      <c r="AH27" s="45" t="s">
        <v>52</v>
      </c>
      <c r="AI27" s="45">
        <v>10</v>
      </c>
      <c r="AK27" s="38" t="s">
        <v>38</v>
      </c>
      <c r="AL27" s="31"/>
      <c r="AM27" s="39">
        <v>450</v>
      </c>
      <c r="AN27" s="39"/>
      <c r="AO27" s="39">
        <v>270</v>
      </c>
      <c r="AP27" s="39"/>
      <c r="AQ27" s="39">
        <v>170</v>
      </c>
      <c r="AR27" s="39">
        <v>20</v>
      </c>
      <c r="AS27" s="39">
        <v>150</v>
      </c>
      <c r="AT27" s="40"/>
      <c r="AU27" s="45">
        <v>28</v>
      </c>
      <c r="AV27" s="229"/>
      <c r="AW27" s="45">
        <v>41</v>
      </c>
      <c r="AX27" s="229"/>
      <c r="AY27" s="45">
        <v>8</v>
      </c>
      <c r="AZ27" s="45" t="s">
        <v>52</v>
      </c>
      <c r="BA27" s="45">
        <v>9</v>
      </c>
    </row>
    <row r="28" spans="1:53" ht="15" customHeight="1" x14ac:dyDescent="0.25">
      <c r="A28" s="38"/>
      <c r="B28" s="20">
        <f t="shared" si="1"/>
        <v>15</v>
      </c>
      <c r="C28" s="45"/>
      <c r="D28" s="35"/>
      <c r="E28" s="34"/>
      <c r="F28" s="34"/>
      <c r="G28" s="34"/>
      <c r="H28" s="34"/>
      <c r="S28" s="38"/>
      <c r="T28" s="31"/>
      <c r="U28" s="45"/>
      <c r="V28" s="35"/>
      <c r="W28" s="34"/>
      <c r="X28" s="34"/>
      <c r="Y28" s="34"/>
      <c r="Z28" s="34"/>
      <c r="AK28" s="38"/>
      <c r="AL28" s="31"/>
      <c r="AM28" s="45"/>
      <c r="AN28" s="35"/>
      <c r="AO28" s="34"/>
      <c r="AP28" s="34"/>
      <c r="AQ28" s="34"/>
      <c r="AR28" s="34"/>
    </row>
    <row r="29" spans="1:53" ht="15" customHeight="1" x14ac:dyDescent="0.25">
      <c r="A29" s="18" t="s">
        <v>113</v>
      </c>
      <c r="B29" s="20">
        <f t="shared" si="1"/>
        <v>16</v>
      </c>
      <c r="C29" s="39"/>
      <c r="D29" s="46"/>
      <c r="E29" s="46"/>
      <c r="F29" s="46"/>
      <c r="G29" s="46"/>
      <c r="H29" s="46"/>
      <c r="S29" s="18" t="s">
        <v>113</v>
      </c>
      <c r="T29" s="31"/>
      <c r="U29" s="39"/>
      <c r="V29" s="46"/>
      <c r="W29" s="46"/>
      <c r="X29" s="46"/>
      <c r="Y29" s="46"/>
      <c r="Z29" s="46"/>
      <c r="AK29" s="18" t="s">
        <v>113</v>
      </c>
      <c r="AL29" s="31"/>
      <c r="AM29" s="39"/>
      <c r="AN29" s="46"/>
      <c r="AO29" s="46"/>
      <c r="AP29" s="46"/>
      <c r="AQ29" s="46"/>
      <c r="AR29" s="46"/>
    </row>
    <row r="30" spans="1:53" ht="15" customHeight="1" x14ac:dyDescent="0.25">
      <c r="A30" s="33"/>
      <c r="B30" s="20">
        <f t="shared" si="1"/>
        <v>17</v>
      </c>
      <c r="C30" s="46"/>
      <c r="D30" s="46"/>
      <c r="E30" s="46"/>
      <c r="F30" s="46"/>
      <c r="G30" s="46"/>
      <c r="H30" s="46"/>
      <c r="S30" s="33"/>
      <c r="T30" s="31"/>
      <c r="U30" s="46"/>
      <c r="V30" s="46"/>
      <c r="W30" s="46"/>
      <c r="X30" s="46"/>
      <c r="Y30" s="46"/>
      <c r="Z30" s="46"/>
      <c r="AK30" s="33"/>
      <c r="AL30" s="31"/>
      <c r="AM30" s="46"/>
      <c r="AN30" s="46"/>
      <c r="AO30" s="46"/>
      <c r="AP30" s="46"/>
      <c r="AQ30" s="46"/>
      <c r="AR30" s="46"/>
    </row>
    <row r="31" spans="1:53" ht="15" customHeight="1" x14ac:dyDescent="0.25">
      <c r="A31" s="202" t="s">
        <v>24</v>
      </c>
      <c r="B31" s="20">
        <f t="shared" si="1"/>
        <v>18</v>
      </c>
      <c r="C31" s="46"/>
      <c r="D31" s="46"/>
      <c r="E31" s="46"/>
      <c r="F31" s="46"/>
      <c r="G31" s="46"/>
      <c r="H31" s="46"/>
      <c r="S31" s="202" t="s">
        <v>24</v>
      </c>
      <c r="T31" s="31"/>
      <c r="U31" s="46"/>
      <c r="V31" s="46"/>
      <c r="W31" s="46"/>
      <c r="X31" s="46"/>
      <c r="Y31" s="46"/>
      <c r="Z31" s="46"/>
      <c r="AK31" s="202" t="s">
        <v>24</v>
      </c>
      <c r="AL31" s="31"/>
      <c r="AM31" s="46"/>
      <c r="AN31" s="46"/>
      <c r="AO31" s="46"/>
      <c r="AP31" s="46"/>
      <c r="AQ31" s="46"/>
      <c r="AR31" s="46"/>
    </row>
    <row r="32" spans="1:53" ht="15" customHeight="1" x14ac:dyDescent="0.25">
      <c r="A32" s="38" t="s">
        <v>35</v>
      </c>
      <c r="B32" s="20">
        <f t="shared" si="1"/>
        <v>19</v>
      </c>
      <c r="C32" s="39">
        <v>370</v>
      </c>
      <c r="D32" s="39"/>
      <c r="E32" s="39">
        <v>210</v>
      </c>
      <c r="F32" s="39"/>
      <c r="G32" s="39">
        <v>160</v>
      </c>
      <c r="H32" s="39">
        <v>30</v>
      </c>
      <c r="I32" s="39">
        <v>130</v>
      </c>
      <c r="J32" s="40"/>
      <c r="K32" s="45">
        <v>44</v>
      </c>
      <c r="L32" s="229"/>
      <c r="M32" s="45">
        <v>59</v>
      </c>
      <c r="N32" s="229"/>
      <c r="O32" s="45">
        <v>26</v>
      </c>
      <c r="P32" s="45" t="s">
        <v>52</v>
      </c>
      <c r="Q32" s="45">
        <v>30</v>
      </c>
      <c r="S32" s="38" t="s">
        <v>35</v>
      </c>
      <c r="T32" s="41"/>
      <c r="U32" s="39">
        <v>180</v>
      </c>
      <c r="V32" s="39"/>
      <c r="W32" s="39">
        <v>80</v>
      </c>
      <c r="X32" s="39"/>
      <c r="Y32" s="39">
        <v>100</v>
      </c>
      <c r="Z32" s="39">
        <v>20</v>
      </c>
      <c r="AA32" s="39">
        <v>80</v>
      </c>
      <c r="AB32" s="40"/>
      <c r="AC32" s="45">
        <v>42</v>
      </c>
      <c r="AD32" s="229"/>
      <c r="AE32" s="45">
        <v>58</v>
      </c>
      <c r="AF32" s="229"/>
      <c r="AG32" s="45">
        <v>29</v>
      </c>
      <c r="AH32" s="45" t="s">
        <v>52</v>
      </c>
      <c r="AI32" s="45">
        <v>33</v>
      </c>
      <c r="AK32" s="38" t="s">
        <v>35</v>
      </c>
      <c r="AL32" s="41"/>
      <c r="AM32" s="39">
        <v>200</v>
      </c>
      <c r="AN32" s="39"/>
      <c r="AO32" s="39">
        <v>130</v>
      </c>
      <c r="AP32" s="39"/>
      <c r="AQ32" s="39">
        <v>60</v>
      </c>
      <c r="AR32" s="39">
        <v>10</v>
      </c>
      <c r="AS32" s="39">
        <v>50</v>
      </c>
      <c r="AT32" s="40"/>
      <c r="AU32" s="45">
        <v>47</v>
      </c>
      <c r="AV32" s="229"/>
      <c r="AW32" s="45">
        <v>59</v>
      </c>
      <c r="AX32" s="229"/>
      <c r="AY32" s="45">
        <v>21</v>
      </c>
      <c r="AZ32" s="45" t="s">
        <v>52</v>
      </c>
      <c r="BA32" s="45">
        <v>25</v>
      </c>
    </row>
    <row r="33" spans="1:53" ht="15" customHeight="1" x14ac:dyDescent="0.25">
      <c r="A33" s="38" t="s">
        <v>36</v>
      </c>
      <c r="B33" s="20">
        <f t="shared" si="1"/>
        <v>20</v>
      </c>
      <c r="C33" s="39">
        <v>370</v>
      </c>
      <c r="D33" s="39"/>
      <c r="E33" s="39">
        <v>210</v>
      </c>
      <c r="F33" s="39"/>
      <c r="G33" s="39">
        <v>160</v>
      </c>
      <c r="H33" s="39">
        <v>30</v>
      </c>
      <c r="I33" s="39">
        <v>130</v>
      </c>
      <c r="J33" s="40"/>
      <c r="K33" s="45">
        <v>53</v>
      </c>
      <c r="L33" s="229"/>
      <c r="M33" s="45">
        <v>76</v>
      </c>
      <c r="N33" s="229"/>
      <c r="O33" s="45">
        <v>24</v>
      </c>
      <c r="P33" s="45" t="s">
        <v>52</v>
      </c>
      <c r="Q33" s="45">
        <v>27</v>
      </c>
      <c r="S33" s="38" t="s">
        <v>36</v>
      </c>
      <c r="T33" s="47"/>
      <c r="U33" s="39">
        <v>180</v>
      </c>
      <c r="V33" s="39"/>
      <c r="W33" s="39">
        <v>80</v>
      </c>
      <c r="X33" s="39"/>
      <c r="Y33" s="39">
        <v>100</v>
      </c>
      <c r="Z33" s="39">
        <v>20</v>
      </c>
      <c r="AA33" s="39">
        <v>80</v>
      </c>
      <c r="AB33" s="40"/>
      <c r="AC33" s="45">
        <v>41</v>
      </c>
      <c r="AD33" s="229"/>
      <c r="AE33" s="45">
        <v>65</v>
      </c>
      <c r="AF33" s="229"/>
      <c r="AG33" s="45">
        <v>22</v>
      </c>
      <c r="AH33" s="45" t="s">
        <v>52</v>
      </c>
      <c r="AI33" s="45">
        <v>26</v>
      </c>
      <c r="AK33" s="38" t="s">
        <v>36</v>
      </c>
      <c r="AL33" s="47"/>
      <c r="AM33" s="39">
        <v>200</v>
      </c>
      <c r="AN33" s="39"/>
      <c r="AO33" s="39">
        <v>130</v>
      </c>
      <c r="AP33" s="39"/>
      <c r="AQ33" s="39">
        <v>60</v>
      </c>
      <c r="AR33" s="39">
        <v>10</v>
      </c>
      <c r="AS33" s="39">
        <v>50</v>
      </c>
      <c r="AT33" s="40"/>
      <c r="AU33" s="45">
        <v>64</v>
      </c>
      <c r="AV33" s="229"/>
      <c r="AW33" s="45">
        <v>82</v>
      </c>
      <c r="AX33" s="229"/>
      <c r="AY33" s="45">
        <v>27</v>
      </c>
      <c r="AZ33" s="45" t="s">
        <v>52</v>
      </c>
      <c r="BA33" s="45">
        <v>29</v>
      </c>
    </row>
    <row r="34" spans="1:53" ht="15" customHeight="1" x14ac:dyDescent="0.25">
      <c r="A34" s="38" t="s">
        <v>34</v>
      </c>
      <c r="B34" s="20">
        <f t="shared" si="1"/>
        <v>21</v>
      </c>
      <c r="C34" s="39">
        <v>370</v>
      </c>
      <c r="D34" s="39"/>
      <c r="E34" s="39">
        <v>210</v>
      </c>
      <c r="F34" s="39"/>
      <c r="G34" s="39">
        <v>160</v>
      </c>
      <c r="H34" s="39">
        <v>30</v>
      </c>
      <c r="I34" s="39">
        <v>130</v>
      </c>
      <c r="J34" s="40"/>
      <c r="K34" s="45">
        <v>47</v>
      </c>
      <c r="L34" s="229"/>
      <c r="M34" s="45">
        <v>63</v>
      </c>
      <c r="N34" s="229"/>
      <c r="O34" s="45">
        <v>25</v>
      </c>
      <c r="P34" s="45" t="s">
        <v>52</v>
      </c>
      <c r="Q34" s="45">
        <v>28</v>
      </c>
      <c r="S34" s="38" t="s">
        <v>34</v>
      </c>
      <c r="T34" s="41"/>
      <c r="U34" s="39">
        <v>180</v>
      </c>
      <c r="V34" s="39"/>
      <c r="W34" s="39">
        <v>80</v>
      </c>
      <c r="X34" s="39"/>
      <c r="Y34" s="39">
        <v>100</v>
      </c>
      <c r="Z34" s="39">
        <v>20</v>
      </c>
      <c r="AA34" s="39">
        <v>80</v>
      </c>
      <c r="AB34" s="40"/>
      <c r="AC34" s="45">
        <v>49</v>
      </c>
      <c r="AD34" s="229"/>
      <c r="AE34" s="45">
        <v>72</v>
      </c>
      <c r="AF34" s="229"/>
      <c r="AG34" s="45">
        <v>30</v>
      </c>
      <c r="AH34" s="45" t="s">
        <v>52</v>
      </c>
      <c r="AI34" s="45">
        <v>35</v>
      </c>
      <c r="AK34" s="38" t="s">
        <v>34</v>
      </c>
      <c r="AL34" s="41"/>
      <c r="AM34" s="39">
        <v>200</v>
      </c>
      <c r="AN34" s="39"/>
      <c r="AO34" s="39">
        <v>130</v>
      </c>
      <c r="AP34" s="39"/>
      <c r="AQ34" s="39">
        <v>60</v>
      </c>
      <c r="AR34" s="39">
        <v>10</v>
      </c>
      <c r="AS34" s="39">
        <v>50</v>
      </c>
      <c r="AT34" s="40"/>
      <c r="AU34" s="45">
        <v>45</v>
      </c>
      <c r="AV34" s="229"/>
      <c r="AW34" s="45">
        <v>58</v>
      </c>
      <c r="AX34" s="229"/>
      <c r="AY34" s="45">
        <v>16</v>
      </c>
      <c r="AZ34" s="45" t="s">
        <v>52</v>
      </c>
      <c r="BA34" s="45">
        <v>17</v>
      </c>
    </row>
    <row r="35" spans="1:53" ht="15" customHeight="1" x14ac:dyDescent="0.25">
      <c r="A35" s="38" t="s">
        <v>37</v>
      </c>
      <c r="B35" s="20">
        <f t="shared" si="1"/>
        <v>22</v>
      </c>
      <c r="C35" s="39">
        <v>370</v>
      </c>
      <c r="D35" s="39"/>
      <c r="E35" s="39">
        <v>210</v>
      </c>
      <c r="F35" s="39"/>
      <c r="G35" s="39">
        <v>160</v>
      </c>
      <c r="H35" s="39">
        <v>30</v>
      </c>
      <c r="I35" s="39">
        <v>130</v>
      </c>
      <c r="J35" s="40"/>
      <c r="K35" s="45">
        <v>48</v>
      </c>
      <c r="L35" s="229"/>
      <c r="M35" s="45">
        <v>68</v>
      </c>
      <c r="N35" s="229"/>
      <c r="O35" s="45">
        <v>23</v>
      </c>
      <c r="P35" s="45" t="s">
        <v>52</v>
      </c>
      <c r="Q35" s="45">
        <v>27</v>
      </c>
      <c r="S35" s="38" t="s">
        <v>37</v>
      </c>
      <c r="T35" s="197"/>
      <c r="U35" s="39">
        <v>180</v>
      </c>
      <c r="V35" s="39"/>
      <c r="W35" s="39">
        <v>80</v>
      </c>
      <c r="X35" s="39"/>
      <c r="Y35" s="39">
        <v>100</v>
      </c>
      <c r="Z35" s="39">
        <v>20</v>
      </c>
      <c r="AA35" s="39">
        <v>80</v>
      </c>
      <c r="AB35" s="40"/>
      <c r="AC35" s="45">
        <v>43</v>
      </c>
      <c r="AD35" s="229"/>
      <c r="AE35" s="45">
        <v>62</v>
      </c>
      <c r="AF35" s="229"/>
      <c r="AG35" s="45">
        <v>28</v>
      </c>
      <c r="AH35" s="45" t="s">
        <v>52</v>
      </c>
      <c r="AI35" s="45">
        <v>33</v>
      </c>
      <c r="AK35" s="38" t="s">
        <v>37</v>
      </c>
      <c r="AL35" s="197"/>
      <c r="AM35" s="39">
        <v>200</v>
      </c>
      <c r="AN35" s="39"/>
      <c r="AO35" s="39">
        <v>130</v>
      </c>
      <c r="AP35" s="39"/>
      <c r="AQ35" s="39">
        <v>60</v>
      </c>
      <c r="AR35" s="39">
        <v>10</v>
      </c>
      <c r="AS35" s="39">
        <v>50</v>
      </c>
      <c r="AT35" s="40"/>
      <c r="AU35" s="45">
        <v>53</v>
      </c>
      <c r="AV35" s="229"/>
      <c r="AW35" s="45">
        <v>71</v>
      </c>
      <c r="AX35" s="229"/>
      <c r="AY35" s="45">
        <v>16</v>
      </c>
      <c r="AZ35" s="45" t="s">
        <v>52</v>
      </c>
      <c r="BA35" s="45">
        <v>19</v>
      </c>
    </row>
    <row r="36" spans="1:53" ht="15" customHeight="1" x14ac:dyDescent="0.25">
      <c r="A36" s="38" t="s">
        <v>38</v>
      </c>
      <c r="B36" s="20">
        <f t="shared" si="1"/>
        <v>23</v>
      </c>
      <c r="C36" s="39">
        <v>370</v>
      </c>
      <c r="D36" s="39"/>
      <c r="E36" s="39">
        <v>210</v>
      </c>
      <c r="F36" s="39"/>
      <c r="G36" s="39">
        <v>160</v>
      </c>
      <c r="H36" s="39">
        <v>30</v>
      </c>
      <c r="I36" s="39">
        <v>130</v>
      </c>
      <c r="J36" s="40"/>
      <c r="K36" s="45">
        <v>28</v>
      </c>
      <c r="L36" s="229"/>
      <c r="M36" s="45">
        <v>42</v>
      </c>
      <c r="N36" s="229"/>
      <c r="O36" s="45">
        <v>9</v>
      </c>
      <c r="P36" s="45" t="s">
        <v>52</v>
      </c>
      <c r="Q36" s="45">
        <v>10</v>
      </c>
      <c r="S36" s="38" t="s">
        <v>38</v>
      </c>
      <c r="T36" s="197"/>
      <c r="U36" s="39">
        <v>180</v>
      </c>
      <c r="V36" s="39"/>
      <c r="W36" s="39">
        <v>80</v>
      </c>
      <c r="X36" s="39"/>
      <c r="Y36" s="39">
        <v>100</v>
      </c>
      <c r="Z36" s="39">
        <v>20</v>
      </c>
      <c r="AA36" s="39">
        <v>80</v>
      </c>
      <c r="AB36" s="40"/>
      <c r="AC36" s="45">
        <v>26</v>
      </c>
      <c r="AD36" s="229"/>
      <c r="AE36" s="45">
        <v>44</v>
      </c>
      <c r="AF36" s="229"/>
      <c r="AG36" s="45">
        <v>12</v>
      </c>
      <c r="AH36" s="45" t="s">
        <v>52</v>
      </c>
      <c r="AI36" s="45">
        <v>14</v>
      </c>
      <c r="AK36" s="38" t="s">
        <v>38</v>
      </c>
      <c r="AL36" s="197"/>
      <c r="AM36" s="39">
        <v>200</v>
      </c>
      <c r="AN36" s="39"/>
      <c r="AO36" s="39">
        <v>130</v>
      </c>
      <c r="AP36" s="39"/>
      <c r="AQ36" s="39">
        <v>60</v>
      </c>
      <c r="AR36" s="39">
        <v>10</v>
      </c>
      <c r="AS36" s="39">
        <v>50</v>
      </c>
      <c r="AT36" s="40"/>
      <c r="AU36" s="45">
        <v>29</v>
      </c>
      <c r="AV36" s="229"/>
      <c r="AW36" s="45">
        <v>42</v>
      </c>
      <c r="AX36" s="229"/>
      <c r="AY36" s="45" t="s">
        <v>52</v>
      </c>
      <c r="AZ36" s="45" t="s">
        <v>52</v>
      </c>
      <c r="BA36" s="45" t="s">
        <v>52</v>
      </c>
    </row>
    <row r="37" spans="1:53" ht="15" customHeight="1" x14ac:dyDescent="0.25">
      <c r="A37" s="38"/>
      <c r="B37" s="20">
        <f t="shared" si="1"/>
        <v>24</v>
      </c>
      <c r="C37" s="45"/>
      <c r="D37" s="39"/>
      <c r="E37" s="39"/>
      <c r="F37" s="39"/>
      <c r="G37" s="39"/>
      <c r="H37" s="39"/>
      <c r="I37" s="39"/>
      <c r="J37" s="43"/>
      <c r="K37" s="230"/>
      <c r="L37" s="43"/>
      <c r="M37" s="230"/>
      <c r="N37" s="43"/>
      <c r="O37" s="230"/>
      <c r="P37" s="230"/>
      <c r="Q37" s="230"/>
      <c r="S37" s="38"/>
      <c r="T37" s="197"/>
      <c r="U37" s="45"/>
      <c r="V37" s="39"/>
      <c r="W37" s="39"/>
      <c r="X37" s="39"/>
      <c r="Y37" s="39"/>
      <c r="Z37" s="39"/>
      <c r="AA37" s="39"/>
      <c r="AB37" s="43"/>
      <c r="AC37" s="230"/>
      <c r="AD37" s="43"/>
      <c r="AE37" s="230"/>
      <c r="AF37" s="43"/>
      <c r="AG37" s="230"/>
      <c r="AH37" s="230"/>
      <c r="AI37" s="230"/>
      <c r="AK37" s="38"/>
      <c r="AL37" s="197"/>
      <c r="AM37" s="45"/>
      <c r="AN37" s="39"/>
      <c r="AO37" s="39"/>
      <c r="AP37" s="39"/>
      <c r="AQ37" s="39"/>
      <c r="AR37" s="39"/>
      <c r="AS37" s="39"/>
      <c r="AT37" s="43"/>
      <c r="AU37" s="230"/>
      <c r="AV37" s="43"/>
      <c r="AW37" s="230"/>
      <c r="AX37" s="43"/>
      <c r="AY37" s="230"/>
      <c r="AZ37" s="230"/>
      <c r="BA37" s="230"/>
    </row>
    <row r="38" spans="1:53" ht="15" customHeight="1" x14ac:dyDescent="0.25">
      <c r="A38" s="18" t="s">
        <v>20</v>
      </c>
      <c r="B38" s="20">
        <f t="shared" si="1"/>
        <v>25</v>
      </c>
      <c r="C38" s="39"/>
      <c r="D38" s="46"/>
      <c r="E38" s="46"/>
      <c r="F38" s="46"/>
      <c r="G38" s="46"/>
      <c r="H38" s="46"/>
      <c r="S38" s="18" t="s">
        <v>20</v>
      </c>
      <c r="T38" s="31"/>
      <c r="U38" s="39"/>
      <c r="V38" s="46"/>
      <c r="W38" s="46"/>
      <c r="X38" s="46"/>
      <c r="Y38" s="46"/>
      <c r="Z38" s="46"/>
      <c r="AK38" s="18" t="s">
        <v>20</v>
      </c>
      <c r="AL38" s="31"/>
      <c r="AM38" s="39"/>
      <c r="AN38" s="46"/>
      <c r="AO38" s="46"/>
      <c r="AP38" s="46"/>
      <c r="AQ38" s="46"/>
      <c r="AR38" s="46"/>
    </row>
    <row r="39" spans="1:53" ht="15" customHeight="1" x14ac:dyDescent="0.25">
      <c r="A39" s="33"/>
      <c r="B39" s="20">
        <f t="shared" si="1"/>
        <v>26</v>
      </c>
      <c r="C39" s="46"/>
      <c r="D39" s="46"/>
      <c r="E39" s="46"/>
      <c r="F39" s="46"/>
      <c r="G39" s="46"/>
      <c r="H39" s="46"/>
      <c r="S39" s="33"/>
      <c r="T39" s="31"/>
      <c r="U39" s="46"/>
      <c r="V39" s="46"/>
      <c r="W39" s="46"/>
      <c r="X39" s="46"/>
      <c r="Y39" s="46"/>
      <c r="Z39" s="46"/>
      <c r="AK39" s="33"/>
      <c r="AL39" s="31"/>
      <c r="AM39" s="46"/>
      <c r="AN39" s="46"/>
      <c r="AO39" s="46"/>
      <c r="AP39" s="46"/>
      <c r="AQ39" s="46"/>
      <c r="AR39" s="46"/>
    </row>
    <row r="40" spans="1:53" ht="15" customHeight="1" x14ac:dyDescent="0.25">
      <c r="A40" s="202" t="s">
        <v>24</v>
      </c>
      <c r="B40" s="20">
        <f t="shared" si="1"/>
        <v>27</v>
      </c>
      <c r="C40" s="46"/>
      <c r="D40" s="46"/>
      <c r="E40" s="46"/>
      <c r="F40" s="46"/>
      <c r="G40" s="46"/>
      <c r="H40" s="46"/>
      <c r="S40" s="202" t="s">
        <v>24</v>
      </c>
      <c r="T40" s="31"/>
      <c r="U40" s="46"/>
      <c r="V40" s="46"/>
      <c r="W40" s="46"/>
      <c r="X40" s="46"/>
      <c r="Y40" s="46"/>
      <c r="Z40" s="46"/>
      <c r="AK40" s="202" t="s">
        <v>24</v>
      </c>
      <c r="AL40" s="31"/>
      <c r="AM40" s="46"/>
      <c r="AN40" s="46"/>
      <c r="AO40" s="46"/>
      <c r="AP40" s="46"/>
      <c r="AQ40" s="46"/>
      <c r="AR40" s="46"/>
    </row>
    <row r="41" spans="1:53" ht="15" customHeight="1" x14ac:dyDescent="0.25">
      <c r="A41" s="38" t="s">
        <v>35</v>
      </c>
      <c r="B41" s="20">
        <f t="shared" si="1"/>
        <v>28</v>
      </c>
      <c r="C41" s="39">
        <v>3630</v>
      </c>
      <c r="D41" s="39"/>
      <c r="E41" s="39">
        <v>1960</v>
      </c>
      <c r="F41" s="39"/>
      <c r="G41" s="39">
        <v>1670</v>
      </c>
      <c r="H41" s="39">
        <v>440</v>
      </c>
      <c r="I41" s="39">
        <v>1230</v>
      </c>
      <c r="J41" s="40"/>
      <c r="K41" s="45">
        <v>49</v>
      </c>
      <c r="L41" s="229"/>
      <c r="M41" s="45">
        <v>67</v>
      </c>
      <c r="N41" s="229"/>
      <c r="O41" s="45">
        <v>28</v>
      </c>
      <c r="P41" s="45">
        <v>15</v>
      </c>
      <c r="Q41" s="45">
        <v>32</v>
      </c>
      <c r="S41" s="38" t="s">
        <v>35</v>
      </c>
      <c r="T41" s="41"/>
      <c r="U41" s="39">
        <v>1780</v>
      </c>
      <c r="V41" s="39"/>
      <c r="W41" s="39">
        <v>840</v>
      </c>
      <c r="X41" s="39"/>
      <c r="Y41" s="39">
        <v>950</v>
      </c>
      <c r="Z41" s="39">
        <v>280</v>
      </c>
      <c r="AA41" s="39">
        <v>670</v>
      </c>
      <c r="AB41" s="40"/>
      <c r="AC41" s="45">
        <v>48</v>
      </c>
      <c r="AD41" s="229"/>
      <c r="AE41" s="45">
        <v>68</v>
      </c>
      <c r="AF41" s="229"/>
      <c r="AG41" s="45">
        <v>30</v>
      </c>
      <c r="AH41" s="45">
        <v>18</v>
      </c>
      <c r="AI41" s="45">
        <v>36</v>
      </c>
      <c r="AK41" s="38" t="s">
        <v>35</v>
      </c>
      <c r="AL41" s="41"/>
      <c r="AM41" s="39">
        <v>1840</v>
      </c>
      <c r="AN41" s="39"/>
      <c r="AO41" s="39">
        <v>1120</v>
      </c>
      <c r="AP41" s="39"/>
      <c r="AQ41" s="39">
        <v>720</v>
      </c>
      <c r="AR41" s="39">
        <v>160</v>
      </c>
      <c r="AS41" s="39">
        <v>560</v>
      </c>
      <c r="AT41" s="40"/>
      <c r="AU41" s="45">
        <v>50</v>
      </c>
      <c r="AV41" s="229"/>
      <c r="AW41" s="45">
        <v>66</v>
      </c>
      <c r="AX41" s="229"/>
      <c r="AY41" s="45">
        <v>24</v>
      </c>
      <c r="AZ41" s="45">
        <v>10</v>
      </c>
      <c r="BA41" s="45">
        <v>29</v>
      </c>
    </row>
    <row r="42" spans="1:53" ht="15" customHeight="1" x14ac:dyDescent="0.25">
      <c r="A42" s="38" t="s">
        <v>36</v>
      </c>
      <c r="B42" s="20">
        <f t="shared" si="1"/>
        <v>29</v>
      </c>
      <c r="C42" s="39">
        <v>3620</v>
      </c>
      <c r="D42" s="39"/>
      <c r="E42" s="39">
        <v>1960</v>
      </c>
      <c r="F42" s="39"/>
      <c r="G42" s="39">
        <v>1660</v>
      </c>
      <c r="H42" s="39">
        <v>430</v>
      </c>
      <c r="I42" s="39">
        <v>1230</v>
      </c>
      <c r="J42" s="40"/>
      <c r="K42" s="45">
        <v>50</v>
      </c>
      <c r="L42" s="229"/>
      <c r="M42" s="45">
        <v>73</v>
      </c>
      <c r="N42" s="229"/>
      <c r="O42" s="45">
        <v>24</v>
      </c>
      <c r="P42" s="45">
        <v>12</v>
      </c>
      <c r="Q42" s="45">
        <v>28</v>
      </c>
      <c r="S42" s="38" t="s">
        <v>36</v>
      </c>
      <c r="T42" s="47"/>
      <c r="U42" s="39">
        <v>1780</v>
      </c>
      <c r="V42" s="39"/>
      <c r="W42" s="39">
        <v>840</v>
      </c>
      <c r="X42" s="39"/>
      <c r="Y42" s="39">
        <v>940</v>
      </c>
      <c r="Z42" s="39">
        <v>280</v>
      </c>
      <c r="AA42" s="39">
        <v>670</v>
      </c>
      <c r="AB42" s="40"/>
      <c r="AC42" s="45">
        <v>44</v>
      </c>
      <c r="AD42" s="229"/>
      <c r="AE42" s="45">
        <v>68</v>
      </c>
      <c r="AF42" s="229"/>
      <c r="AG42" s="45">
        <v>23</v>
      </c>
      <c r="AH42" s="45">
        <v>12</v>
      </c>
      <c r="AI42" s="45">
        <v>28</v>
      </c>
      <c r="AK42" s="38" t="s">
        <v>36</v>
      </c>
      <c r="AL42" s="47"/>
      <c r="AM42" s="39">
        <v>1840</v>
      </c>
      <c r="AN42" s="39"/>
      <c r="AO42" s="39">
        <v>1120</v>
      </c>
      <c r="AP42" s="39"/>
      <c r="AQ42" s="39">
        <v>720</v>
      </c>
      <c r="AR42" s="39">
        <v>160</v>
      </c>
      <c r="AS42" s="39">
        <v>560</v>
      </c>
      <c r="AT42" s="40"/>
      <c r="AU42" s="45">
        <v>56</v>
      </c>
      <c r="AV42" s="229"/>
      <c r="AW42" s="45">
        <v>76</v>
      </c>
      <c r="AX42" s="229"/>
      <c r="AY42" s="45">
        <v>25</v>
      </c>
      <c r="AZ42" s="45">
        <v>11</v>
      </c>
      <c r="BA42" s="45">
        <v>29</v>
      </c>
    </row>
    <row r="43" spans="1:53" ht="15" customHeight="1" x14ac:dyDescent="0.25">
      <c r="A43" s="38" t="s">
        <v>34</v>
      </c>
      <c r="B43" s="20">
        <f t="shared" si="1"/>
        <v>30</v>
      </c>
      <c r="C43" s="39">
        <v>3630</v>
      </c>
      <c r="D43" s="39"/>
      <c r="E43" s="39">
        <v>1960</v>
      </c>
      <c r="F43" s="39"/>
      <c r="G43" s="39">
        <v>1670</v>
      </c>
      <c r="H43" s="39">
        <v>440</v>
      </c>
      <c r="I43" s="39">
        <v>1230</v>
      </c>
      <c r="J43" s="40"/>
      <c r="K43" s="45">
        <v>45</v>
      </c>
      <c r="L43" s="229"/>
      <c r="M43" s="45">
        <v>63</v>
      </c>
      <c r="N43" s="229"/>
      <c r="O43" s="45">
        <v>25</v>
      </c>
      <c r="P43" s="45">
        <v>12</v>
      </c>
      <c r="Q43" s="45">
        <v>30</v>
      </c>
      <c r="S43" s="38" t="s">
        <v>34</v>
      </c>
      <c r="T43" s="41"/>
      <c r="U43" s="39">
        <v>1780</v>
      </c>
      <c r="V43" s="39"/>
      <c r="W43" s="39">
        <v>840</v>
      </c>
      <c r="X43" s="39"/>
      <c r="Y43" s="39">
        <v>950</v>
      </c>
      <c r="Z43" s="39">
        <v>280</v>
      </c>
      <c r="AA43" s="39">
        <v>670</v>
      </c>
      <c r="AB43" s="40"/>
      <c r="AC43" s="45">
        <v>48</v>
      </c>
      <c r="AD43" s="229"/>
      <c r="AE43" s="45">
        <v>69</v>
      </c>
      <c r="AF43" s="229"/>
      <c r="AG43" s="45">
        <v>30</v>
      </c>
      <c r="AH43" s="45">
        <v>15</v>
      </c>
      <c r="AI43" s="45">
        <v>36</v>
      </c>
      <c r="AK43" s="38" t="s">
        <v>34</v>
      </c>
      <c r="AL43" s="41"/>
      <c r="AM43" s="39">
        <v>1840</v>
      </c>
      <c r="AN43" s="39"/>
      <c r="AO43" s="39">
        <v>1120</v>
      </c>
      <c r="AP43" s="39"/>
      <c r="AQ43" s="39">
        <v>720</v>
      </c>
      <c r="AR43" s="39">
        <v>160</v>
      </c>
      <c r="AS43" s="39">
        <v>560</v>
      </c>
      <c r="AT43" s="40"/>
      <c r="AU43" s="45">
        <v>43</v>
      </c>
      <c r="AV43" s="229"/>
      <c r="AW43" s="45">
        <v>58</v>
      </c>
      <c r="AX43" s="229"/>
      <c r="AY43" s="45">
        <v>18</v>
      </c>
      <c r="AZ43" s="45">
        <v>6</v>
      </c>
      <c r="BA43" s="45">
        <v>22</v>
      </c>
    </row>
    <row r="44" spans="1:53" ht="15" customHeight="1" x14ac:dyDescent="0.25">
      <c r="A44" s="38" t="s">
        <v>37</v>
      </c>
      <c r="B44" s="20">
        <f t="shared" si="1"/>
        <v>31</v>
      </c>
      <c r="C44" s="39">
        <v>3630</v>
      </c>
      <c r="D44" s="39"/>
      <c r="E44" s="39">
        <v>1960</v>
      </c>
      <c r="F44" s="39"/>
      <c r="G44" s="39">
        <v>1670</v>
      </c>
      <c r="H44" s="39">
        <v>440</v>
      </c>
      <c r="I44" s="39">
        <v>1230</v>
      </c>
      <c r="J44" s="40"/>
      <c r="K44" s="45">
        <v>50</v>
      </c>
      <c r="L44" s="229"/>
      <c r="M44" s="45">
        <v>71</v>
      </c>
      <c r="N44" s="229"/>
      <c r="O44" s="45">
        <v>26</v>
      </c>
      <c r="P44" s="45">
        <v>14</v>
      </c>
      <c r="Q44" s="45">
        <v>30</v>
      </c>
      <c r="S44" s="38" t="s">
        <v>37</v>
      </c>
      <c r="T44" s="197"/>
      <c r="U44" s="39">
        <v>1780</v>
      </c>
      <c r="V44" s="39"/>
      <c r="W44" s="39">
        <v>840</v>
      </c>
      <c r="X44" s="39"/>
      <c r="Y44" s="39">
        <v>950</v>
      </c>
      <c r="Z44" s="39">
        <v>280</v>
      </c>
      <c r="AA44" s="39">
        <v>670</v>
      </c>
      <c r="AB44" s="40"/>
      <c r="AC44" s="45">
        <v>46</v>
      </c>
      <c r="AD44" s="229"/>
      <c r="AE44" s="45">
        <v>69</v>
      </c>
      <c r="AF44" s="229"/>
      <c r="AG44" s="45">
        <v>26</v>
      </c>
      <c r="AH44" s="45">
        <v>15</v>
      </c>
      <c r="AI44" s="45">
        <v>31</v>
      </c>
      <c r="AK44" s="38" t="s">
        <v>37</v>
      </c>
      <c r="AL44" s="197"/>
      <c r="AM44" s="39">
        <v>1840</v>
      </c>
      <c r="AN44" s="39"/>
      <c r="AO44" s="39">
        <v>1120</v>
      </c>
      <c r="AP44" s="39"/>
      <c r="AQ44" s="39">
        <v>720</v>
      </c>
      <c r="AR44" s="39">
        <v>160</v>
      </c>
      <c r="AS44" s="39">
        <v>560</v>
      </c>
      <c r="AT44" s="40"/>
      <c r="AU44" s="45">
        <v>54</v>
      </c>
      <c r="AV44" s="229"/>
      <c r="AW44" s="45">
        <v>73</v>
      </c>
      <c r="AX44" s="229"/>
      <c r="AY44" s="45">
        <v>25</v>
      </c>
      <c r="AZ44" s="45">
        <v>12</v>
      </c>
      <c r="BA44" s="45">
        <v>29</v>
      </c>
    </row>
    <row r="45" spans="1:53" ht="15" customHeight="1" x14ac:dyDescent="0.25">
      <c r="A45" s="38" t="s">
        <v>38</v>
      </c>
      <c r="B45" s="20">
        <f t="shared" si="1"/>
        <v>32</v>
      </c>
      <c r="C45" s="39">
        <v>3620</v>
      </c>
      <c r="D45" s="39"/>
      <c r="E45" s="39">
        <v>1960</v>
      </c>
      <c r="F45" s="39"/>
      <c r="G45" s="39">
        <v>1660</v>
      </c>
      <c r="H45" s="39">
        <v>430</v>
      </c>
      <c r="I45" s="39">
        <v>1230</v>
      </c>
      <c r="J45" s="40"/>
      <c r="K45" s="45">
        <v>30</v>
      </c>
      <c r="L45" s="229"/>
      <c r="M45" s="45">
        <v>46</v>
      </c>
      <c r="N45" s="229"/>
      <c r="O45" s="45">
        <v>11</v>
      </c>
      <c r="P45" s="45">
        <v>4</v>
      </c>
      <c r="Q45" s="45">
        <v>13</v>
      </c>
      <c r="S45" s="38" t="s">
        <v>38</v>
      </c>
      <c r="T45" s="197"/>
      <c r="U45" s="39">
        <v>1780</v>
      </c>
      <c r="V45" s="39"/>
      <c r="W45" s="39">
        <v>840</v>
      </c>
      <c r="X45" s="39"/>
      <c r="Y45" s="39">
        <v>940</v>
      </c>
      <c r="Z45" s="39">
        <v>280</v>
      </c>
      <c r="AA45" s="39">
        <v>670</v>
      </c>
      <c r="AB45" s="40"/>
      <c r="AC45" s="45">
        <v>28</v>
      </c>
      <c r="AD45" s="229"/>
      <c r="AE45" s="45">
        <v>47</v>
      </c>
      <c r="AF45" s="229"/>
      <c r="AG45" s="45">
        <v>12</v>
      </c>
      <c r="AH45" s="45">
        <v>5</v>
      </c>
      <c r="AI45" s="45">
        <v>14</v>
      </c>
      <c r="AK45" s="38" t="s">
        <v>38</v>
      </c>
      <c r="AL45" s="197"/>
      <c r="AM45" s="39">
        <v>1840</v>
      </c>
      <c r="AN45" s="39"/>
      <c r="AO45" s="39">
        <v>1120</v>
      </c>
      <c r="AP45" s="39"/>
      <c r="AQ45" s="39">
        <v>720</v>
      </c>
      <c r="AR45" s="39">
        <v>160</v>
      </c>
      <c r="AS45" s="39">
        <v>560</v>
      </c>
      <c r="AT45" s="40"/>
      <c r="AU45" s="45">
        <v>32</v>
      </c>
      <c r="AV45" s="229"/>
      <c r="AW45" s="45">
        <v>46</v>
      </c>
      <c r="AX45" s="229"/>
      <c r="AY45" s="45">
        <v>9</v>
      </c>
      <c r="AZ45" s="45" t="s">
        <v>52</v>
      </c>
      <c r="BA45" s="45">
        <v>11</v>
      </c>
    </row>
    <row r="46" spans="1:53" ht="15" customHeight="1" x14ac:dyDescent="0.25">
      <c r="A46" s="30"/>
      <c r="B46" s="30"/>
      <c r="C46" s="30"/>
      <c r="D46" s="30"/>
      <c r="E46" s="30"/>
      <c r="F46" s="30"/>
      <c r="G46" s="30"/>
      <c r="H46" s="30"/>
      <c r="I46" s="30"/>
      <c r="J46" s="30"/>
      <c r="K46" s="30"/>
      <c r="L46" s="30"/>
      <c r="M46" s="30"/>
      <c r="N46" s="30"/>
      <c r="O46" s="30"/>
      <c r="P46" s="30"/>
      <c r="Q46" s="30"/>
      <c r="S46" s="30"/>
      <c r="T46" s="30"/>
      <c r="U46" s="30"/>
      <c r="V46" s="30"/>
      <c r="W46" s="30"/>
      <c r="X46" s="30"/>
      <c r="Y46" s="30"/>
      <c r="Z46" s="30"/>
      <c r="AA46" s="30"/>
      <c r="AB46" s="30"/>
      <c r="AC46" s="30"/>
      <c r="AD46" s="30"/>
      <c r="AE46" s="30"/>
      <c r="AF46" s="30"/>
      <c r="AG46" s="30"/>
      <c r="AH46" s="30"/>
      <c r="AI46" s="30"/>
      <c r="AK46" s="30"/>
      <c r="AL46" s="30"/>
      <c r="AM46" s="30"/>
      <c r="AN46" s="30"/>
      <c r="AO46" s="30"/>
      <c r="AP46" s="30"/>
      <c r="AQ46" s="30"/>
      <c r="AR46" s="30"/>
      <c r="AS46" s="30"/>
      <c r="AT46" s="30"/>
      <c r="AU46" s="30"/>
      <c r="AV46" s="30"/>
      <c r="AW46" s="30"/>
      <c r="AX46" s="30"/>
      <c r="AY46" s="30"/>
      <c r="AZ46" s="30"/>
      <c r="BA46" s="30"/>
    </row>
  </sheetData>
  <mergeCells count="9">
    <mergeCell ref="A3:Q3"/>
    <mergeCell ref="S3:AI3"/>
    <mergeCell ref="AK3:BA3"/>
    <mergeCell ref="C8:I8"/>
    <mergeCell ref="K8:Q8"/>
    <mergeCell ref="U8:AA8"/>
    <mergeCell ref="AC8:AI8"/>
    <mergeCell ref="AM8:AS8"/>
    <mergeCell ref="AU8:B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72"/>
  <sheetViews>
    <sheetView showGridLines="0" zoomScaleNormal="100" workbookViewId="0"/>
  </sheetViews>
  <sheetFormatPr defaultColWidth="9" defaultRowHeight="15" x14ac:dyDescent="0.25"/>
  <cols>
    <col min="1" max="1" width="9" style="7"/>
    <col min="2" max="2" width="23.140625" style="7" customWidth="1"/>
    <col min="3" max="3" width="11.7109375" style="7" customWidth="1"/>
    <col min="4" max="4" width="1.7109375" style="7" customWidth="1"/>
    <col min="5" max="5" width="11.7109375" style="7" customWidth="1"/>
    <col min="6" max="6" width="1.7109375" style="7" customWidth="1"/>
    <col min="7" max="9" width="11.7109375" style="7" customWidth="1"/>
    <col min="10" max="10" width="1.7109375" style="7" customWidth="1"/>
    <col min="11" max="11" width="11.7109375" style="7" customWidth="1"/>
    <col min="12" max="12" width="1.7109375" style="7" customWidth="1"/>
    <col min="13" max="13" width="11.7109375" style="7" customWidth="1"/>
    <col min="14" max="14" width="1.7109375" style="7" customWidth="1"/>
    <col min="15" max="17" width="11.7109375" style="7" customWidth="1"/>
    <col min="18" max="26" width="9" style="7"/>
    <col min="27" max="28" width="0" style="7" hidden="1" customWidth="1"/>
    <col min="29" max="16384" width="9" style="7"/>
  </cols>
  <sheetData>
    <row r="1" spans="1:39" ht="15" customHeight="1" x14ac:dyDescent="0.25">
      <c r="A1" s="323"/>
      <c r="AA1" s="208" t="s">
        <v>20</v>
      </c>
    </row>
    <row r="2" spans="1:39" ht="15" customHeight="1" x14ac:dyDescent="0.25">
      <c r="A2" s="209" t="s">
        <v>12</v>
      </c>
      <c r="AA2" s="208" t="s">
        <v>19</v>
      </c>
    </row>
    <row r="3" spans="1:39" ht="30" customHeight="1" x14ac:dyDescent="0.25">
      <c r="A3" s="341" t="s">
        <v>123</v>
      </c>
      <c r="B3" s="341"/>
      <c r="C3" s="341"/>
      <c r="D3" s="341"/>
      <c r="E3" s="341"/>
      <c r="F3" s="341"/>
      <c r="G3" s="341"/>
      <c r="H3" s="341"/>
      <c r="I3" s="341"/>
      <c r="J3" s="341"/>
      <c r="K3" s="341"/>
      <c r="L3" s="341"/>
      <c r="M3" s="341"/>
      <c r="N3" s="341"/>
      <c r="O3" s="341"/>
      <c r="P3" s="341"/>
      <c r="Q3" s="341"/>
      <c r="AA3" s="208" t="s">
        <v>18</v>
      </c>
    </row>
    <row r="4" spans="1:39" ht="15" customHeight="1" x14ac:dyDescent="0.25">
      <c r="A4" s="21" t="s">
        <v>164</v>
      </c>
    </row>
    <row r="5" spans="1:39" x14ac:dyDescent="0.25">
      <c r="A5" s="21" t="s">
        <v>28</v>
      </c>
      <c r="F5" s="231"/>
      <c r="AA5" s="211">
        <f>IF(Q11="Total",0*18,IF(Q11="Male",1*18,2*18))</f>
        <v>0</v>
      </c>
    </row>
    <row r="6" spans="1:39" x14ac:dyDescent="0.25">
      <c r="A6" s="21"/>
      <c r="F6" s="231"/>
    </row>
    <row r="7" spans="1:39" ht="15" customHeight="1" x14ac:dyDescent="0.25">
      <c r="A7" s="329" t="s">
        <v>124</v>
      </c>
      <c r="B7" s="330"/>
      <c r="C7" s="330"/>
      <c r="D7" s="330"/>
      <c r="E7" s="330"/>
      <c r="F7" s="330"/>
      <c r="G7" s="330"/>
      <c r="H7" s="330"/>
      <c r="I7" s="330"/>
      <c r="J7" s="330"/>
      <c r="K7" s="330"/>
      <c r="L7" s="330"/>
      <c r="M7" s="330"/>
      <c r="N7" s="330"/>
      <c r="O7" s="330"/>
      <c r="P7" s="330"/>
      <c r="Q7" s="330"/>
    </row>
    <row r="8" spans="1:39" x14ac:dyDescent="0.25">
      <c r="A8" s="330"/>
      <c r="B8" s="330"/>
      <c r="C8" s="330"/>
      <c r="D8" s="330"/>
      <c r="E8" s="330"/>
      <c r="F8" s="330"/>
      <c r="G8" s="330"/>
      <c r="H8" s="330"/>
      <c r="I8" s="330"/>
      <c r="J8" s="330"/>
      <c r="K8" s="330"/>
      <c r="L8" s="330"/>
      <c r="M8" s="330"/>
      <c r="N8" s="330"/>
      <c r="O8" s="330"/>
      <c r="P8" s="330"/>
      <c r="Q8" s="330"/>
    </row>
    <row r="9" spans="1:39" x14ac:dyDescent="0.25">
      <c r="A9" s="330"/>
      <c r="B9" s="330"/>
      <c r="C9" s="330"/>
      <c r="D9" s="330"/>
      <c r="E9" s="330"/>
      <c r="F9" s="330"/>
      <c r="G9" s="330"/>
      <c r="H9" s="330"/>
      <c r="I9" s="330"/>
      <c r="J9" s="330"/>
      <c r="K9" s="330"/>
      <c r="L9" s="330"/>
      <c r="M9" s="330"/>
      <c r="N9" s="330"/>
      <c r="O9" s="330"/>
      <c r="P9" s="330"/>
      <c r="Q9" s="330"/>
    </row>
    <row r="10" spans="1:39" ht="15" customHeight="1" x14ac:dyDescent="0.25">
      <c r="A10" s="294"/>
      <c r="B10" s="294"/>
      <c r="C10" s="294"/>
      <c r="D10" s="294"/>
      <c r="E10" s="294"/>
      <c r="F10" s="294"/>
      <c r="G10" s="294"/>
      <c r="H10" s="294"/>
      <c r="I10" s="294"/>
    </row>
    <row r="11" spans="1:39" ht="15" customHeight="1" x14ac:dyDescent="0.25">
      <c r="A11" s="231"/>
      <c r="B11" s="231"/>
      <c r="C11" s="231"/>
      <c r="D11" s="231"/>
      <c r="E11" s="231"/>
      <c r="F11" s="231"/>
      <c r="P11" s="24" t="s">
        <v>17</v>
      </c>
      <c r="Q11" s="319" t="s">
        <v>20</v>
      </c>
    </row>
    <row r="13" spans="1:39" ht="15" customHeight="1" x14ac:dyDescent="0.25">
      <c r="A13" s="215"/>
      <c r="B13" s="215"/>
      <c r="C13" s="342" t="s">
        <v>21</v>
      </c>
      <c r="D13" s="342"/>
      <c r="E13" s="342"/>
      <c r="F13" s="342"/>
      <c r="G13" s="342"/>
      <c r="H13" s="342"/>
      <c r="I13" s="342"/>
      <c r="J13" s="215"/>
      <c r="K13" s="342" t="s">
        <v>22</v>
      </c>
      <c r="L13" s="342"/>
      <c r="M13" s="342"/>
      <c r="N13" s="342"/>
      <c r="O13" s="342"/>
      <c r="P13" s="342"/>
      <c r="Q13" s="342"/>
      <c r="AA13" s="329"/>
      <c r="AB13" s="330"/>
      <c r="AC13" s="330"/>
      <c r="AD13" s="330"/>
      <c r="AE13" s="330"/>
      <c r="AF13" s="330"/>
      <c r="AG13" s="330"/>
      <c r="AH13" s="330"/>
      <c r="AI13" s="330"/>
      <c r="AJ13" s="232"/>
      <c r="AK13" s="232"/>
      <c r="AL13" s="232"/>
      <c r="AM13" s="232"/>
    </row>
    <row r="14" spans="1:39" ht="56.25" customHeight="1" x14ac:dyDescent="0.25">
      <c r="A14" s="111"/>
      <c r="B14" s="111"/>
      <c r="C14" s="200" t="s">
        <v>29</v>
      </c>
      <c r="D14" s="233"/>
      <c r="E14" s="200" t="s">
        <v>23</v>
      </c>
      <c r="F14" s="233"/>
      <c r="G14" s="177" t="s">
        <v>75</v>
      </c>
      <c r="H14" s="200" t="s">
        <v>165</v>
      </c>
      <c r="I14" s="200" t="s">
        <v>166</v>
      </c>
      <c r="J14" s="234"/>
      <c r="K14" s="200" t="s">
        <v>29</v>
      </c>
      <c r="L14" s="233"/>
      <c r="M14" s="200" t="s">
        <v>23</v>
      </c>
      <c r="N14" s="233"/>
      <c r="O14" s="177" t="s">
        <v>75</v>
      </c>
      <c r="P14" s="200" t="s">
        <v>165</v>
      </c>
      <c r="Q14" s="200" t="s">
        <v>166</v>
      </c>
      <c r="AA14" s="330"/>
      <c r="AB14" s="330"/>
      <c r="AC14" s="330"/>
      <c r="AD14" s="330"/>
      <c r="AE14" s="330"/>
      <c r="AF14" s="330"/>
      <c r="AG14" s="330"/>
      <c r="AH14" s="330"/>
      <c r="AI14" s="330"/>
      <c r="AJ14" s="232"/>
      <c r="AK14" s="232"/>
      <c r="AL14" s="232"/>
      <c r="AM14" s="232"/>
    </row>
    <row r="15" spans="1:39" ht="15" customHeight="1" x14ac:dyDescent="0.25">
      <c r="A15" s="198"/>
      <c r="B15" s="198"/>
      <c r="C15" s="198"/>
      <c r="D15" s="198"/>
      <c r="E15" s="198"/>
      <c r="F15" s="198"/>
      <c r="G15" s="198"/>
      <c r="H15" s="198"/>
      <c r="AA15" s="330"/>
      <c r="AB15" s="330"/>
      <c r="AC15" s="330"/>
      <c r="AD15" s="330"/>
      <c r="AE15" s="330"/>
      <c r="AF15" s="330"/>
      <c r="AG15" s="330"/>
      <c r="AH15" s="330"/>
      <c r="AI15" s="330"/>
      <c r="AJ15" s="232"/>
      <c r="AK15" s="232"/>
      <c r="AL15" s="232"/>
      <c r="AM15" s="232"/>
    </row>
    <row r="16" spans="1:39" ht="15" customHeight="1" x14ac:dyDescent="0.25">
      <c r="A16" s="210" t="s">
        <v>111</v>
      </c>
      <c r="B16" s="198"/>
      <c r="C16" s="198"/>
      <c r="D16" s="198"/>
      <c r="E16" s="198"/>
      <c r="F16" s="198"/>
      <c r="G16" s="198"/>
      <c r="H16" s="198"/>
      <c r="AA16" s="330"/>
      <c r="AB16" s="330"/>
      <c r="AC16" s="330"/>
      <c r="AD16" s="330"/>
      <c r="AE16" s="330"/>
      <c r="AF16" s="330"/>
      <c r="AG16" s="330"/>
      <c r="AH16" s="330"/>
      <c r="AI16" s="330"/>
      <c r="AJ16" s="232"/>
      <c r="AK16" s="232"/>
      <c r="AL16" s="232"/>
      <c r="AM16" s="232"/>
    </row>
    <row r="17" spans="1:17" ht="15" customHeight="1" x14ac:dyDescent="0.25">
      <c r="A17" s="84"/>
      <c r="B17" s="198"/>
      <c r="C17" s="176"/>
      <c r="D17" s="115"/>
      <c r="E17" s="115"/>
      <c r="F17" s="115"/>
      <c r="G17" s="115"/>
      <c r="H17" s="115"/>
    </row>
    <row r="18" spans="1:17" ht="15" customHeight="1" x14ac:dyDescent="0.25">
      <c r="A18" s="202" t="s">
        <v>24</v>
      </c>
      <c r="B18" s="203"/>
      <c r="C18" s="176"/>
      <c r="D18" s="115"/>
      <c r="E18" s="115"/>
      <c r="F18" s="115"/>
      <c r="G18" s="115"/>
      <c r="H18" s="176"/>
      <c r="J18" s="108"/>
    </row>
    <row r="19" spans="1:17" ht="15" customHeight="1" x14ac:dyDescent="0.25">
      <c r="A19" s="235" t="s">
        <v>35</v>
      </c>
      <c r="B19" s="198"/>
      <c r="C19" s="83">
        <f>INDEX(' Table A1 feeder rounded values'!$C$14:$BA$45,' Table A1 feeder rounded values'!$B14,' Table A1 feeder rounded values'!C$12+$AA$5)</f>
        <v>2390</v>
      </c>
      <c r="D19" s="83"/>
      <c r="E19" s="83">
        <f>INDEX(' Table A1 feeder rounded values'!$C$14:$BA$45,' Table A1 feeder rounded values'!$B14,' Table A1 feeder rounded values'!E$12+$AA$5)</f>
        <v>1280</v>
      </c>
      <c r="F19" s="83"/>
      <c r="G19" s="83">
        <f>INDEX(' Table A1 feeder rounded values'!$C$14:$BA$45,' Table A1 feeder rounded values'!$B14,' Table A1 feeder rounded values'!G$12+$AA$5)</f>
        <v>1110</v>
      </c>
      <c r="H19" s="83">
        <f>INDEX(' Table A1 feeder rounded values'!$C$14:$BA$45,' Table A1 feeder rounded values'!$B14,' Table A1 feeder rounded values'!H$12+$AA$5)</f>
        <v>320</v>
      </c>
      <c r="I19" s="83">
        <f>INDEX(' Table A1 feeder rounded values'!$C$14:$BA$45,' Table A1 feeder rounded values'!$B14,' Table A1 feeder rounded values'!I$12+$AA$5)</f>
        <v>790</v>
      </c>
      <c r="J19" s="176"/>
      <c r="K19" s="83">
        <f>INDEX(' Table A1 feeder rounded values'!$C$14:$BA$45,' Table A1 feeder rounded values'!$B14,' Table A1 feeder rounded values'!K$12+$AA$5)</f>
        <v>51</v>
      </c>
      <c r="L19" s="176"/>
      <c r="M19" s="83">
        <f>INDEX(' Table A1 feeder rounded values'!$C$14:$BA$45,' Table A1 feeder rounded values'!$B14,' Table A1 feeder rounded values'!M$12+$AA$5)</f>
        <v>69</v>
      </c>
      <c r="N19" s="176"/>
      <c r="O19" s="83">
        <f>INDEX(' Table A1 feeder rounded values'!$C$14:$BA$45,' Table A1 feeder rounded values'!$B14,' Table A1 feeder rounded values'!O$12+$AA$5)</f>
        <v>30</v>
      </c>
      <c r="P19" s="83">
        <f>INDEX(' Table A1 feeder rounded values'!$C$14:$BA$45,' Table A1 feeder rounded values'!$B14,' Table A1 feeder rounded values'!P$12+$AA$5)</f>
        <v>18</v>
      </c>
      <c r="Q19" s="83">
        <f>INDEX(' Table A1 feeder rounded values'!$C$14:$BA$45,' Table A1 feeder rounded values'!$B14,' Table A1 feeder rounded values'!Q$12+$AA$5)</f>
        <v>35</v>
      </c>
    </row>
    <row r="20" spans="1:17" ht="15" customHeight="1" x14ac:dyDescent="0.25">
      <c r="A20" s="235" t="s">
        <v>36</v>
      </c>
      <c r="B20" s="198"/>
      <c r="C20" s="83">
        <f>INDEX(' Table A1 feeder rounded values'!$C$14:$BA$45,' Table A1 feeder rounded values'!$B15,' Table A1 feeder rounded values'!C$12+$AA$5)</f>
        <v>2390</v>
      </c>
      <c r="D20" s="83"/>
      <c r="E20" s="83">
        <f>INDEX(' Table A1 feeder rounded values'!$C$14:$BA$45,' Table A1 feeder rounded values'!$B15,' Table A1 feeder rounded values'!E$12+$AA$5)</f>
        <v>1280</v>
      </c>
      <c r="F20" s="83"/>
      <c r="G20" s="83">
        <f>INDEX(' Table A1 feeder rounded values'!$C$14:$BA$45,' Table A1 feeder rounded values'!$B15,' Table A1 feeder rounded values'!G$12+$AA$5)</f>
        <v>1110</v>
      </c>
      <c r="H20" s="83">
        <f>INDEX(' Table A1 feeder rounded values'!$C$14:$BA$45,' Table A1 feeder rounded values'!$B15,' Table A1 feeder rounded values'!H$12+$AA$5)</f>
        <v>320</v>
      </c>
      <c r="I20" s="83">
        <f>INDEX(' Table A1 feeder rounded values'!$C$14:$BA$45,' Table A1 feeder rounded values'!$B15,' Table A1 feeder rounded values'!I$12+$AA$5)</f>
        <v>790</v>
      </c>
      <c r="J20" s="176"/>
      <c r="K20" s="83">
        <f>INDEX(' Table A1 feeder rounded values'!$C$14:$BA$45,' Table A1 feeder rounded values'!$B15,' Table A1 feeder rounded values'!K$12+$AA$5)</f>
        <v>50</v>
      </c>
      <c r="L20" s="176"/>
      <c r="M20" s="83">
        <f>INDEX(' Table A1 feeder rounded values'!$C$14:$BA$45,' Table A1 feeder rounded values'!$B15,' Table A1 feeder rounded values'!M$12+$AA$5)</f>
        <v>73</v>
      </c>
      <c r="N20" s="176"/>
      <c r="O20" s="83">
        <f>INDEX(' Table A1 feeder rounded values'!$C$14:$BA$45,' Table A1 feeder rounded values'!$B15,' Table A1 feeder rounded values'!O$12+$AA$5)</f>
        <v>24</v>
      </c>
      <c r="P20" s="83">
        <f>INDEX(' Table A1 feeder rounded values'!$C$14:$BA$45,' Table A1 feeder rounded values'!$B15,' Table A1 feeder rounded values'!P$12+$AA$5)</f>
        <v>12</v>
      </c>
      <c r="Q20" s="83">
        <f>INDEX(' Table A1 feeder rounded values'!$C$14:$BA$45,' Table A1 feeder rounded values'!$B15,' Table A1 feeder rounded values'!Q$12+$AA$5)</f>
        <v>29</v>
      </c>
    </row>
    <row r="21" spans="1:17" ht="15" customHeight="1" x14ac:dyDescent="0.25">
      <c r="A21" s="235" t="s">
        <v>34</v>
      </c>
      <c r="B21" s="198"/>
      <c r="C21" s="83">
        <f>INDEX(' Table A1 feeder rounded values'!$C$14:$BA$45,' Table A1 feeder rounded values'!$B16,' Table A1 feeder rounded values'!C$12+$AA$5)</f>
        <v>2390</v>
      </c>
      <c r="D21" s="83"/>
      <c r="E21" s="83">
        <f>INDEX(' Table A1 feeder rounded values'!$C$14:$BA$45,' Table A1 feeder rounded values'!$B16,' Table A1 feeder rounded values'!E$12+$AA$5)</f>
        <v>1280</v>
      </c>
      <c r="F21" s="83"/>
      <c r="G21" s="83">
        <f>INDEX(' Table A1 feeder rounded values'!$C$14:$BA$45,' Table A1 feeder rounded values'!$B16,' Table A1 feeder rounded values'!G$12+$AA$5)</f>
        <v>1110</v>
      </c>
      <c r="H21" s="83">
        <f>INDEX(' Table A1 feeder rounded values'!$C$14:$BA$45,' Table A1 feeder rounded values'!$B16,' Table A1 feeder rounded values'!H$12+$AA$5)</f>
        <v>320</v>
      </c>
      <c r="I21" s="83">
        <f>INDEX(' Table A1 feeder rounded values'!$C$14:$BA$45,' Table A1 feeder rounded values'!$B16,' Table A1 feeder rounded values'!I$12+$AA$5)</f>
        <v>790</v>
      </c>
      <c r="J21" s="176"/>
      <c r="K21" s="83">
        <f>INDEX(' Table A1 feeder rounded values'!$C$14:$BA$45,' Table A1 feeder rounded values'!$B16,' Table A1 feeder rounded values'!K$12+$AA$5)</f>
        <v>46</v>
      </c>
      <c r="L21" s="176"/>
      <c r="M21" s="83">
        <f>INDEX(' Table A1 feeder rounded values'!$C$14:$BA$45,' Table A1 feeder rounded values'!$B16,' Table A1 feeder rounded values'!M$12+$AA$5)</f>
        <v>63</v>
      </c>
      <c r="N21" s="176"/>
      <c r="O21" s="83">
        <f>INDEX(' Table A1 feeder rounded values'!$C$14:$BA$45,' Table A1 feeder rounded values'!$B16,' Table A1 feeder rounded values'!O$12+$AA$5)</f>
        <v>26</v>
      </c>
      <c r="P21" s="83">
        <f>INDEX(' Table A1 feeder rounded values'!$C$14:$BA$45,' Table A1 feeder rounded values'!$B16,' Table A1 feeder rounded values'!P$12+$AA$5)</f>
        <v>13</v>
      </c>
      <c r="Q21" s="83">
        <f>INDEX(' Table A1 feeder rounded values'!$C$14:$BA$45,' Table A1 feeder rounded values'!$B16,' Table A1 feeder rounded values'!Q$12+$AA$5)</f>
        <v>31</v>
      </c>
    </row>
    <row r="22" spans="1:17" ht="15" customHeight="1" x14ac:dyDescent="0.25">
      <c r="A22" s="235" t="s">
        <v>37</v>
      </c>
      <c r="B22" s="198"/>
      <c r="C22" s="83">
        <f>INDEX(' Table A1 feeder rounded values'!$C$14:$BA$45,' Table A1 feeder rounded values'!$B17,' Table A1 feeder rounded values'!C$12+$AA$5)</f>
        <v>2390</v>
      </c>
      <c r="D22" s="83"/>
      <c r="E22" s="83">
        <f>INDEX(' Table A1 feeder rounded values'!$C$14:$BA$45,' Table A1 feeder rounded values'!$B17,' Table A1 feeder rounded values'!E$12+$AA$5)</f>
        <v>1280</v>
      </c>
      <c r="F22" s="83"/>
      <c r="G22" s="83">
        <f>INDEX(' Table A1 feeder rounded values'!$C$14:$BA$45,' Table A1 feeder rounded values'!$B17,' Table A1 feeder rounded values'!G$12+$AA$5)</f>
        <v>1110</v>
      </c>
      <c r="H22" s="83">
        <f>INDEX(' Table A1 feeder rounded values'!$C$14:$BA$45,' Table A1 feeder rounded values'!$B17,' Table A1 feeder rounded values'!H$12+$AA$5)</f>
        <v>320</v>
      </c>
      <c r="I22" s="83">
        <f>INDEX(' Table A1 feeder rounded values'!$C$14:$BA$45,' Table A1 feeder rounded values'!$B17,' Table A1 feeder rounded values'!I$12+$AA$5)</f>
        <v>790</v>
      </c>
      <c r="J22" s="176"/>
      <c r="K22" s="83">
        <f>INDEX(' Table A1 feeder rounded values'!$C$14:$BA$45,' Table A1 feeder rounded values'!$B17,' Table A1 feeder rounded values'!K$12+$AA$5)</f>
        <v>52</v>
      </c>
      <c r="L22" s="176"/>
      <c r="M22" s="83">
        <f>INDEX(' Table A1 feeder rounded values'!$C$14:$BA$45,' Table A1 feeder rounded values'!$B17,' Table A1 feeder rounded values'!M$12+$AA$5)</f>
        <v>73</v>
      </c>
      <c r="N22" s="176"/>
      <c r="O22" s="83">
        <f>INDEX(' Table A1 feeder rounded values'!$C$14:$BA$45,' Table A1 feeder rounded values'!$B17,' Table A1 feeder rounded values'!O$12+$AA$5)</f>
        <v>28</v>
      </c>
      <c r="P22" s="83">
        <f>INDEX(' Table A1 feeder rounded values'!$C$14:$BA$45,' Table A1 feeder rounded values'!$B17,' Table A1 feeder rounded values'!P$12+$AA$5)</f>
        <v>17</v>
      </c>
      <c r="Q22" s="83">
        <f>INDEX(' Table A1 feeder rounded values'!$C$14:$BA$45,' Table A1 feeder rounded values'!$B17,' Table A1 feeder rounded values'!Q$12+$AA$5)</f>
        <v>32</v>
      </c>
    </row>
    <row r="23" spans="1:17" ht="15" customHeight="1" x14ac:dyDescent="0.25">
      <c r="A23" s="235" t="s">
        <v>38</v>
      </c>
      <c r="B23" s="198"/>
      <c r="C23" s="83">
        <f>INDEX(' Table A1 feeder rounded values'!$C$14:$BA$45,' Table A1 feeder rounded values'!$B18,' Table A1 feeder rounded values'!C$12+$AA$5)</f>
        <v>2390</v>
      </c>
      <c r="D23" s="83"/>
      <c r="E23" s="83">
        <f>INDEX(' Table A1 feeder rounded values'!$C$14:$BA$45,' Table A1 feeder rounded values'!$B18,' Table A1 feeder rounded values'!E$12+$AA$5)</f>
        <v>1280</v>
      </c>
      <c r="F23" s="83"/>
      <c r="G23" s="83">
        <f>INDEX(' Table A1 feeder rounded values'!$C$14:$BA$45,' Table A1 feeder rounded values'!$B18,' Table A1 feeder rounded values'!G$12+$AA$5)</f>
        <v>1110</v>
      </c>
      <c r="H23" s="83">
        <f>INDEX(' Table A1 feeder rounded values'!$C$14:$BA$45,' Table A1 feeder rounded values'!$B18,' Table A1 feeder rounded values'!H$12+$AA$5)</f>
        <v>320</v>
      </c>
      <c r="I23" s="83">
        <f>INDEX(' Table A1 feeder rounded values'!$C$14:$BA$45,' Table A1 feeder rounded values'!$B18,' Table A1 feeder rounded values'!I$12+$AA$5)</f>
        <v>790</v>
      </c>
      <c r="J23" s="176"/>
      <c r="K23" s="83">
        <f>INDEX(' Table A1 feeder rounded values'!$C$14:$BA$45,' Table A1 feeder rounded values'!$B18,' Table A1 feeder rounded values'!K$12+$AA$5)</f>
        <v>31</v>
      </c>
      <c r="L23" s="176"/>
      <c r="M23" s="83">
        <f>INDEX(' Table A1 feeder rounded values'!$C$14:$BA$45,' Table A1 feeder rounded values'!$B18,' Table A1 feeder rounded values'!M$12+$AA$5)</f>
        <v>48</v>
      </c>
      <c r="N23" s="176"/>
      <c r="O23" s="83">
        <f>INDEX(' Table A1 feeder rounded values'!$C$14:$BA$45,' Table A1 feeder rounded values'!$B18,' Table A1 feeder rounded values'!O$12+$AA$5)</f>
        <v>12</v>
      </c>
      <c r="P23" s="83">
        <f>INDEX(' Table A1 feeder rounded values'!$C$14:$BA$45,' Table A1 feeder rounded values'!$B18,' Table A1 feeder rounded values'!P$12+$AA$5)</f>
        <v>5</v>
      </c>
      <c r="Q23" s="83">
        <f>INDEX(' Table A1 feeder rounded values'!$C$14:$BA$45,' Table A1 feeder rounded values'!$B18,' Table A1 feeder rounded values'!Q$12+$AA$5)</f>
        <v>15</v>
      </c>
    </row>
    <row r="24" spans="1:17" ht="15" customHeight="1" x14ac:dyDescent="0.25">
      <c r="A24" s="202"/>
      <c r="B24" s="202"/>
      <c r="C24" s="114"/>
      <c r="D24" s="114"/>
      <c r="E24" s="114"/>
      <c r="F24" s="114"/>
      <c r="G24" s="114"/>
      <c r="H24" s="114"/>
      <c r="I24" s="236"/>
      <c r="K24" s="287"/>
      <c r="L24" s="287"/>
      <c r="M24" s="287"/>
      <c r="N24" s="287"/>
      <c r="O24" s="287"/>
      <c r="P24" s="287"/>
      <c r="Q24" s="287"/>
    </row>
    <row r="25" spans="1:17" ht="15" customHeight="1" x14ac:dyDescent="0.25">
      <c r="A25" s="210" t="s">
        <v>112</v>
      </c>
      <c r="B25" s="198"/>
      <c r="C25" s="114"/>
      <c r="D25" s="114"/>
      <c r="E25" s="114"/>
      <c r="F25" s="114"/>
      <c r="G25" s="114"/>
      <c r="H25" s="114"/>
      <c r="I25" s="236"/>
      <c r="K25" s="287"/>
      <c r="L25" s="287"/>
      <c r="M25" s="287"/>
      <c r="N25" s="287"/>
      <c r="O25" s="287"/>
      <c r="P25" s="287"/>
      <c r="Q25" s="287"/>
    </row>
    <row r="26" spans="1:17" ht="15" customHeight="1" x14ac:dyDescent="0.25">
      <c r="A26" s="201"/>
      <c r="B26" s="198"/>
      <c r="C26" s="114"/>
      <c r="D26" s="114"/>
      <c r="E26" s="114"/>
      <c r="F26" s="114"/>
      <c r="G26" s="114"/>
      <c r="H26" s="114"/>
      <c r="I26" s="236"/>
      <c r="K26" s="287"/>
      <c r="L26" s="287"/>
      <c r="M26" s="287"/>
      <c r="N26" s="287"/>
      <c r="O26" s="287"/>
      <c r="P26" s="287"/>
      <c r="Q26" s="287"/>
    </row>
    <row r="27" spans="1:17" ht="15" customHeight="1" x14ac:dyDescent="0.25">
      <c r="A27" s="202" t="s">
        <v>24</v>
      </c>
      <c r="B27" s="203"/>
      <c r="C27" s="83"/>
      <c r="D27" s="83"/>
      <c r="E27" s="83"/>
      <c r="F27" s="83"/>
      <c r="G27" s="83"/>
      <c r="H27" s="83"/>
      <c r="I27" s="236"/>
      <c r="K27" s="287"/>
      <c r="L27" s="287"/>
      <c r="M27" s="287"/>
      <c r="N27" s="287"/>
      <c r="O27" s="287"/>
      <c r="P27" s="287"/>
      <c r="Q27" s="287"/>
    </row>
    <row r="28" spans="1:17" ht="15" customHeight="1" x14ac:dyDescent="0.25">
      <c r="A28" s="235" t="s">
        <v>35</v>
      </c>
      <c r="B28" s="198"/>
      <c r="C28" s="83">
        <f>INDEX(' Table A1 feeder rounded values'!$C$14:$BA$45,' Table A1 feeder rounded values'!$B23,' Table A1 feeder rounded values'!C$12+$AA$5)</f>
        <v>870</v>
      </c>
      <c r="D28" s="83"/>
      <c r="E28" s="83">
        <f>INDEX(' Table A1 feeder rounded values'!$C$14:$BA$45,' Table A1 feeder rounded values'!$B23,' Table A1 feeder rounded values'!E$12+$AA$5)</f>
        <v>470</v>
      </c>
      <c r="F28" s="83"/>
      <c r="G28" s="83">
        <f>INDEX(' Table A1 feeder rounded values'!$C$14:$BA$45,' Table A1 feeder rounded values'!$B23,' Table A1 feeder rounded values'!G$12+$AA$5)</f>
        <v>390</v>
      </c>
      <c r="H28" s="83">
        <f>INDEX(' Table A1 feeder rounded values'!$C$14:$BA$45,' Table A1 feeder rounded values'!$B23,' Table A1 feeder rounded values'!H$12+$AA$5)</f>
        <v>90</v>
      </c>
      <c r="I28" s="83">
        <f>INDEX(' Table A1 feeder rounded values'!$C$14:$BA$45,' Table A1 feeder rounded values'!$B23,' Table A1 feeder rounded values'!I$12+$AA$5)</f>
        <v>310</v>
      </c>
      <c r="J28" s="176"/>
      <c r="K28" s="83">
        <f>INDEX(' Table A1 feeder rounded values'!$C$14:$BA$45,' Table A1 feeder rounded values'!$B23,' Table A1 feeder rounded values'!K$12+$AA$5)</f>
        <v>46</v>
      </c>
      <c r="L28" s="176"/>
      <c r="M28" s="83">
        <f>INDEX(' Table A1 feeder rounded values'!$C$14:$BA$45,' Table A1 feeder rounded values'!$B23,' Table A1 feeder rounded values'!M$12+$AA$5)</f>
        <v>65</v>
      </c>
      <c r="N28" s="176"/>
      <c r="O28" s="83">
        <f>INDEX(' Table A1 feeder rounded values'!$C$14:$BA$45,' Table A1 feeder rounded values'!$B23,' Table A1 feeder rounded values'!O$12+$AA$5)</f>
        <v>22</v>
      </c>
      <c r="P28" s="83" t="str">
        <f>INDEX(' Table A1 feeder rounded values'!$C$14:$BA$45,' Table A1 feeder rounded values'!$B23,' Table A1 feeder rounded values'!P$12+$AA$5)</f>
        <v>x</v>
      </c>
      <c r="Q28" s="83">
        <f>INDEX(' Table A1 feeder rounded values'!$C$14:$BA$45,' Table A1 feeder rounded values'!$B23,' Table A1 feeder rounded values'!Q$12+$AA$5)</f>
        <v>27</v>
      </c>
    </row>
    <row r="29" spans="1:17" ht="15" customHeight="1" x14ac:dyDescent="0.25">
      <c r="A29" s="235" t="s">
        <v>36</v>
      </c>
      <c r="B29" s="198"/>
      <c r="C29" s="83">
        <f>INDEX(' Table A1 feeder rounded values'!$C$14:$BA$45,' Table A1 feeder rounded values'!$B24,' Table A1 feeder rounded values'!C$12+$AA$5)</f>
        <v>860</v>
      </c>
      <c r="D29" s="83"/>
      <c r="E29" s="83">
        <f>INDEX(' Table A1 feeder rounded values'!$C$14:$BA$45,' Table A1 feeder rounded values'!$B24,' Table A1 feeder rounded values'!E$12+$AA$5)</f>
        <v>470</v>
      </c>
      <c r="F29" s="83"/>
      <c r="G29" s="83">
        <f>INDEX(' Table A1 feeder rounded values'!$C$14:$BA$45,' Table A1 feeder rounded values'!$B24,' Table A1 feeder rounded values'!G$12+$AA$5)</f>
        <v>390</v>
      </c>
      <c r="H29" s="83">
        <f>INDEX(' Table A1 feeder rounded values'!$C$14:$BA$45,' Table A1 feeder rounded values'!$B24,' Table A1 feeder rounded values'!H$12+$AA$5)</f>
        <v>90</v>
      </c>
      <c r="I29" s="83">
        <f>INDEX(' Table A1 feeder rounded values'!$C$14:$BA$45,' Table A1 feeder rounded values'!$B24,' Table A1 feeder rounded values'!I$12+$AA$5)</f>
        <v>310</v>
      </c>
      <c r="J29" s="176"/>
      <c r="K29" s="83">
        <f>INDEX(' Table A1 feeder rounded values'!$C$14:$BA$45,' Table A1 feeder rounded values'!$B24,' Table A1 feeder rounded values'!K$12+$AA$5)</f>
        <v>50</v>
      </c>
      <c r="L29" s="176"/>
      <c r="M29" s="83">
        <f>INDEX(' Table A1 feeder rounded values'!$C$14:$BA$45,' Table A1 feeder rounded values'!$B24,' Table A1 feeder rounded values'!M$12+$AA$5)</f>
        <v>72</v>
      </c>
      <c r="N29" s="176"/>
      <c r="O29" s="83">
        <f>INDEX(' Table A1 feeder rounded values'!$C$14:$BA$45,' Table A1 feeder rounded values'!$B24,' Table A1 feeder rounded values'!O$12+$AA$5)</f>
        <v>22</v>
      </c>
      <c r="P29" s="83">
        <f>INDEX(' Table A1 feeder rounded values'!$C$14:$BA$45,' Table A1 feeder rounded values'!$B24,' Table A1 feeder rounded values'!P$12+$AA$5)</f>
        <v>9</v>
      </c>
      <c r="Q29" s="83">
        <f>INDEX(' Table A1 feeder rounded values'!$C$14:$BA$45,' Table A1 feeder rounded values'!$B24,' Table A1 feeder rounded values'!Q$12+$AA$5)</f>
        <v>26</v>
      </c>
    </row>
    <row r="30" spans="1:17" ht="15" customHeight="1" x14ac:dyDescent="0.25">
      <c r="A30" s="235" t="s">
        <v>34</v>
      </c>
      <c r="B30" s="198"/>
      <c r="C30" s="83">
        <f>INDEX(' Table A1 feeder rounded values'!$C$14:$BA$45,' Table A1 feeder rounded values'!$B25,' Table A1 feeder rounded values'!C$12+$AA$5)</f>
        <v>870</v>
      </c>
      <c r="D30" s="83"/>
      <c r="E30" s="83">
        <f>INDEX(' Table A1 feeder rounded values'!$C$14:$BA$45,' Table A1 feeder rounded values'!$B25,' Table A1 feeder rounded values'!E$12+$AA$5)</f>
        <v>470</v>
      </c>
      <c r="F30" s="83"/>
      <c r="G30" s="83">
        <f>INDEX(' Table A1 feeder rounded values'!$C$14:$BA$45,' Table A1 feeder rounded values'!$B25,' Table A1 feeder rounded values'!G$12+$AA$5)</f>
        <v>390</v>
      </c>
      <c r="H30" s="83">
        <f>INDEX(' Table A1 feeder rounded values'!$C$14:$BA$45,' Table A1 feeder rounded values'!$B25,' Table A1 feeder rounded values'!H$12+$AA$5)</f>
        <v>90</v>
      </c>
      <c r="I30" s="83">
        <f>INDEX(' Table A1 feeder rounded values'!$C$14:$BA$45,' Table A1 feeder rounded values'!$B25,' Table A1 feeder rounded values'!I$12+$AA$5)</f>
        <v>310</v>
      </c>
      <c r="J30" s="176"/>
      <c r="K30" s="83">
        <f>INDEX(' Table A1 feeder rounded values'!$C$14:$BA$45,' Table A1 feeder rounded values'!$B25,' Table A1 feeder rounded values'!K$12+$AA$5)</f>
        <v>43</v>
      </c>
      <c r="L30" s="176"/>
      <c r="M30" s="83">
        <f>INDEX(' Table A1 feeder rounded values'!$C$14:$BA$45,' Table A1 feeder rounded values'!$B25,' Table A1 feeder rounded values'!M$12+$AA$5)</f>
        <v>60</v>
      </c>
      <c r="N30" s="176"/>
      <c r="O30" s="83">
        <f>INDEX(' Table A1 feeder rounded values'!$C$14:$BA$45,' Table A1 feeder rounded values'!$B25,' Table A1 feeder rounded values'!O$12+$AA$5)</f>
        <v>23</v>
      </c>
      <c r="P30" s="83">
        <f>INDEX(' Table A1 feeder rounded values'!$C$14:$BA$45,' Table A1 feeder rounded values'!$B25,' Table A1 feeder rounded values'!P$12+$AA$5)</f>
        <v>7</v>
      </c>
      <c r="Q30" s="83">
        <f>INDEX(' Table A1 feeder rounded values'!$C$14:$BA$45,' Table A1 feeder rounded values'!$B25,' Table A1 feeder rounded values'!Q$12+$AA$5)</f>
        <v>27</v>
      </c>
    </row>
    <row r="31" spans="1:17" ht="15" customHeight="1" x14ac:dyDescent="0.25">
      <c r="A31" s="235" t="s">
        <v>37</v>
      </c>
      <c r="B31" s="198"/>
      <c r="C31" s="83">
        <f>INDEX(' Table A1 feeder rounded values'!$C$14:$BA$45,' Table A1 feeder rounded values'!$B26,' Table A1 feeder rounded values'!C$12+$AA$5)</f>
        <v>870</v>
      </c>
      <c r="D31" s="83"/>
      <c r="E31" s="83">
        <f>INDEX(' Table A1 feeder rounded values'!$C$14:$BA$45,' Table A1 feeder rounded values'!$B26,' Table A1 feeder rounded values'!E$12+$AA$5)</f>
        <v>470</v>
      </c>
      <c r="F31" s="83"/>
      <c r="G31" s="83">
        <f>INDEX(' Table A1 feeder rounded values'!$C$14:$BA$45,' Table A1 feeder rounded values'!$B26,' Table A1 feeder rounded values'!G$12+$AA$5)</f>
        <v>390</v>
      </c>
      <c r="H31" s="83">
        <f>INDEX(' Table A1 feeder rounded values'!$C$14:$BA$45,' Table A1 feeder rounded values'!$B26,' Table A1 feeder rounded values'!H$12+$AA$5)</f>
        <v>90</v>
      </c>
      <c r="I31" s="83">
        <f>INDEX(' Table A1 feeder rounded values'!$C$14:$BA$45,' Table A1 feeder rounded values'!$B26,' Table A1 feeder rounded values'!I$12+$AA$5)</f>
        <v>310</v>
      </c>
      <c r="J31" s="176"/>
      <c r="K31" s="83">
        <f>INDEX(' Table A1 feeder rounded values'!$C$14:$BA$45,' Table A1 feeder rounded values'!$B26,' Table A1 feeder rounded values'!K$12+$AA$5)</f>
        <v>47</v>
      </c>
      <c r="L31" s="176"/>
      <c r="M31" s="83">
        <f>INDEX(' Table A1 feeder rounded values'!$C$14:$BA$45,' Table A1 feeder rounded values'!$B26,' Table A1 feeder rounded values'!M$12+$AA$5)</f>
        <v>69</v>
      </c>
      <c r="N31" s="176"/>
      <c r="O31" s="83">
        <f>INDEX(' Table A1 feeder rounded values'!$C$14:$BA$45,' Table A1 feeder rounded values'!$B26,' Table A1 feeder rounded values'!O$12+$AA$5)</f>
        <v>21</v>
      </c>
      <c r="P31" s="83">
        <f>INDEX(' Table A1 feeder rounded values'!$C$14:$BA$45,' Table A1 feeder rounded values'!$B26,' Table A1 feeder rounded values'!P$12+$AA$5)</f>
        <v>8</v>
      </c>
      <c r="Q31" s="83">
        <f>INDEX(' Table A1 feeder rounded values'!$C$14:$BA$45,' Table A1 feeder rounded values'!$B26,' Table A1 feeder rounded values'!Q$12+$AA$5)</f>
        <v>25</v>
      </c>
    </row>
    <row r="32" spans="1:17" ht="15" customHeight="1" x14ac:dyDescent="0.25">
      <c r="A32" s="235" t="s">
        <v>38</v>
      </c>
      <c r="B32" s="198"/>
      <c r="C32" s="83">
        <f>INDEX(' Table A1 feeder rounded values'!$C$14:$BA$45,' Table A1 feeder rounded values'!$B27,' Table A1 feeder rounded values'!C$12+$AA$5)</f>
        <v>860</v>
      </c>
      <c r="D32" s="83"/>
      <c r="E32" s="83">
        <f>INDEX(' Table A1 feeder rounded values'!$C$14:$BA$45,' Table A1 feeder rounded values'!$B27,' Table A1 feeder rounded values'!E$12+$AA$5)</f>
        <v>470</v>
      </c>
      <c r="F32" s="83"/>
      <c r="G32" s="83">
        <f>INDEX(' Table A1 feeder rounded values'!$C$14:$BA$45,' Table A1 feeder rounded values'!$B27,' Table A1 feeder rounded values'!G$12+$AA$5)</f>
        <v>390</v>
      </c>
      <c r="H32" s="83">
        <f>INDEX(' Table A1 feeder rounded values'!$C$14:$BA$45,' Table A1 feeder rounded values'!$B27,' Table A1 feeder rounded values'!H$12+$AA$5)</f>
        <v>90</v>
      </c>
      <c r="I32" s="83">
        <f>INDEX(' Table A1 feeder rounded values'!$C$14:$BA$45,' Table A1 feeder rounded values'!$B27,' Table A1 feeder rounded values'!I$12+$AA$5)</f>
        <v>310</v>
      </c>
      <c r="J32" s="176"/>
      <c r="K32" s="83">
        <f>INDEX(' Table A1 feeder rounded values'!$C$14:$BA$45,' Table A1 feeder rounded values'!$B27,' Table A1 feeder rounded values'!K$12+$AA$5)</f>
        <v>27</v>
      </c>
      <c r="L32" s="176"/>
      <c r="M32" s="83">
        <f>INDEX(' Table A1 feeder rounded values'!$C$14:$BA$45,' Table A1 feeder rounded values'!$B27,' Table A1 feeder rounded values'!M$12+$AA$5)</f>
        <v>44</v>
      </c>
      <c r="N32" s="176"/>
      <c r="O32" s="83">
        <f>INDEX(' Table A1 feeder rounded values'!$C$14:$BA$45,' Table A1 feeder rounded values'!$B27,' Table A1 feeder rounded values'!O$12+$AA$5)</f>
        <v>8</v>
      </c>
      <c r="P32" s="83" t="str">
        <f>INDEX(' Table A1 feeder rounded values'!$C$14:$BA$45,' Table A1 feeder rounded values'!$B27,' Table A1 feeder rounded values'!P$12+$AA$5)</f>
        <v>x</v>
      </c>
      <c r="Q32" s="83">
        <f>INDEX(' Table A1 feeder rounded values'!$C$14:$BA$45,' Table A1 feeder rounded values'!$B27,' Table A1 feeder rounded values'!Q$12+$AA$5)</f>
        <v>10</v>
      </c>
    </row>
    <row r="33" spans="1:17" ht="15" customHeight="1" x14ac:dyDescent="0.25">
      <c r="A33" s="235"/>
      <c r="B33" s="198"/>
      <c r="C33" s="83"/>
      <c r="D33" s="114"/>
      <c r="E33" s="83"/>
      <c r="F33" s="83"/>
      <c r="G33" s="83"/>
      <c r="H33" s="83"/>
      <c r="I33" s="236"/>
      <c r="K33" s="287"/>
      <c r="L33" s="287"/>
      <c r="M33" s="287"/>
      <c r="N33" s="287"/>
      <c r="O33" s="287"/>
      <c r="P33" s="287"/>
      <c r="Q33" s="287"/>
    </row>
    <row r="34" spans="1:17" ht="15" customHeight="1" x14ac:dyDescent="0.25">
      <c r="A34" s="113" t="s">
        <v>190</v>
      </c>
      <c r="B34" s="198"/>
      <c r="C34" s="83"/>
      <c r="D34" s="83"/>
      <c r="E34" s="83"/>
      <c r="F34" s="83"/>
      <c r="G34" s="83"/>
      <c r="H34" s="83"/>
      <c r="I34" s="236"/>
      <c r="K34" s="287"/>
      <c r="L34" s="287"/>
      <c r="M34" s="287"/>
      <c r="N34" s="287"/>
      <c r="O34" s="287"/>
      <c r="P34" s="287"/>
      <c r="Q34" s="287"/>
    </row>
    <row r="35" spans="1:17" ht="15" customHeight="1" x14ac:dyDescent="0.25">
      <c r="A35" s="84"/>
      <c r="B35" s="198"/>
      <c r="C35" s="83"/>
      <c r="D35" s="83"/>
      <c r="E35" s="83"/>
      <c r="F35" s="83"/>
      <c r="G35" s="83"/>
      <c r="H35" s="83"/>
      <c r="I35" s="236"/>
      <c r="K35" s="287"/>
      <c r="L35" s="287"/>
      <c r="M35" s="287"/>
      <c r="N35" s="287"/>
      <c r="O35" s="287"/>
      <c r="P35" s="287"/>
      <c r="Q35" s="287"/>
    </row>
    <row r="36" spans="1:17" ht="15" customHeight="1" x14ac:dyDescent="0.25">
      <c r="A36" s="202" t="s">
        <v>24</v>
      </c>
      <c r="B36" s="198"/>
      <c r="C36" s="83"/>
      <c r="D36" s="83"/>
      <c r="E36" s="83"/>
      <c r="F36" s="83"/>
      <c r="G36" s="83"/>
      <c r="H36" s="83"/>
      <c r="I36" s="236"/>
      <c r="K36" s="287"/>
      <c r="L36" s="287"/>
      <c r="M36" s="287"/>
      <c r="N36" s="287"/>
      <c r="O36" s="287"/>
      <c r="P36" s="287"/>
      <c r="Q36" s="287"/>
    </row>
    <row r="37" spans="1:17" ht="15" customHeight="1" x14ac:dyDescent="0.25">
      <c r="A37" s="235" t="s">
        <v>35</v>
      </c>
      <c r="B37" s="202"/>
      <c r="C37" s="83">
        <f>INDEX(' Table A1 feeder rounded values'!$C$14:$BA$45,' Table A1 feeder rounded values'!$B32,' Table A1 feeder rounded values'!C$12+$AA$5)</f>
        <v>370</v>
      </c>
      <c r="D37" s="83"/>
      <c r="E37" s="83">
        <f>INDEX(' Table A1 feeder rounded values'!$C$14:$BA$45,' Table A1 feeder rounded values'!$B32,' Table A1 feeder rounded values'!E$12+$AA$5)</f>
        <v>210</v>
      </c>
      <c r="F37" s="83"/>
      <c r="G37" s="83">
        <f>INDEX(' Table A1 feeder rounded values'!$C$14:$BA$45,' Table A1 feeder rounded values'!$B32,' Table A1 feeder rounded values'!G$12+$AA$5)</f>
        <v>160</v>
      </c>
      <c r="H37" s="83">
        <f>INDEX(' Table A1 feeder rounded values'!$C$14:$BA$45,' Table A1 feeder rounded values'!$B32,' Table A1 feeder rounded values'!H$12+$AA$5)</f>
        <v>30</v>
      </c>
      <c r="I37" s="83">
        <f>INDEX(' Table A1 feeder rounded values'!$C$14:$BA$45,' Table A1 feeder rounded values'!$B32,' Table A1 feeder rounded values'!I$12+$AA$5)</f>
        <v>130</v>
      </c>
      <c r="J37" s="176"/>
      <c r="K37" s="83">
        <f>INDEX(' Table A1 feeder rounded values'!$C$14:$BA$45,' Table A1 feeder rounded values'!$B32,' Table A1 feeder rounded values'!K$12+$AA$5)</f>
        <v>44</v>
      </c>
      <c r="L37" s="176"/>
      <c r="M37" s="83">
        <f>INDEX(' Table A1 feeder rounded values'!$C$14:$BA$45,' Table A1 feeder rounded values'!$B32,' Table A1 feeder rounded values'!M$12+$AA$5)</f>
        <v>59</v>
      </c>
      <c r="N37" s="176"/>
      <c r="O37" s="83">
        <f>INDEX(' Table A1 feeder rounded values'!$C$14:$BA$45,' Table A1 feeder rounded values'!$B32,' Table A1 feeder rounded values'!O$12+$AA$5)</f>
        <v>26</v>
      </c>
      <c r="P37" s="83" t="str">
        <f>INDEX(' Table A1 feeder rounded values'!$C$14:$BA$45,' Table A1 feeder rounded values'!$B32,' Table A1 feeder rounded values'!P$12+$AA$5)</f>
        <v>x</v>
      </c>
      <c r="Q37" s="83">
        <f>INDEX(' Table A1 feeder rounded values'!$C$14:$BA$45,' Table A1 feeder rounded values'!$B32,' Table A1 feeder rounded values'!Q$12+$AA$5)</f>
        <v>30</v>
      </c>
    </row>
    <row r="38" spans="1:17" ht="15" customHeight="1" x14ac:dyDescent="0.25">
      <c r="A38" s="235" t="s">
        <v>36</v>
      </c>
      <c r="B38" s="185"/>
      <c r="C38" s="83">
        <f>INDEX(' Table A1 feeder rounded values'!$C$14:$BA$45,' Table A1 feeder rounded values'!$B33,' Table A1 feeder rounded values'!C$12+$AA$5)</f>
        <v>370</v>
      </c>
      <c r="D38" s="83"/>
      <c r="E38" s="83">
        <f>INDEX(' Table A1 feeder rounded values'!$C$14:$BA$45,' Table A1 feeder rounded values'!$B33,' Table A1 feeder rounded values'!E$12+$AA$5)</f>
        <v>210</v>
      </c>
      <c r="F38" s="83"/>
      <c r="G38" s="83">
        <f>INDEX(' Table A1 feeder rounded values'!$C$14:$BA$45,' Table A1 feeder rounded values'!$B33,' Table A1 feeder rounded values'!G$12+$AA$5)</f>
        <v>160</v>
      </c>
      <c r="H38" s="83">
        <f>INDEX(' Table A1 feeder rounded values'!$C$14:$BA$45,' Table A1 feeder rounded values'!$B33,' Table A1 feeder rounded values'!H$12+$AA$5)</f>
        <v>30</v>
      </c>
      <c r="I38" s="83">
        <f>INDEX(' Table A1 feeder rounded values'!$C$14:$BA$45,' Table A1 feeder rounded values'!$B33,' Table A1 feeder rounded values'!I$12+$AA$5)</f>
        <v>130</v>
      </c>
      <c r="J38" s="176"/>
      <c r="K38" s="83">
        <f>INDEX(' Table A1 feeder rounded values'!$C$14:$BA$45,' Table A1 feeder rounded values'!$B33,' Table A1 feeder rounded values'!K$12+$AA$5)</f>
        <v>53</v>
      </c>
      <c r="L38" s="176"/>
      <c r="M38" s="83">
        <f>INDEX(' Table A1 feeder rounded values'!$C$14:$BA$45,' Table A1 feeder rounded values'!$B33,' Table A1 feeder rounded values'!M$12+$AA$5)</f>
        <v>76</v>
      </c>
      <c r="N38" s="176"/>
      <c r="O38" s="83">
        <f>INDEX(' Table A1 feeder rounded values'!$C$14:$BA$45,' Table A1 feeder rounded values'!$B33,' Table A1 feeder rounded values'!O$12+$AA$5)</f>
        <v>24</v>
      </c>
      <c r="P38" s="83" t="str">
        <f>INDEX(' Table A1 feeder rounded values'!$C$14:$BA$45,' Table A1 feeder rounded values'!$B33,' Table A1 feeder rounded values'!P$12+$AA$5)</f>
        <v>x</v>
      </c>
      <c r="Q38" s="83">
        <f>INDEX(' Table A1 feeder rounded values'!$C$14:$BA$45,' Table A1 feeder rounded values'!$B33,' Table A1 feeder rounded values'!Q$12+$AA$5)</f>
        <v>27</v>
      </c>
    </row>
    <row r="39" spans="1:17" ht="15" customHeight="1" x14ac:dyDescent="0.25">
      <c r="A39" s="235" t="s">
        <v>34</v>
      </c>
      <c r="B39" s="202"/>
      <c r="C39" s="83">
        <f>INDEX(' Table A1 feeder rounded values'!$C$14:$BA$45,' Table A1 feeder rounded values'!$B34,' Table A1 feeder rounded values'!C$12+$AA$5)</f>
        <v>370</v>
      </c>
      <c r="D39" s="83"/>
      <c r="E39" s="83">
        <f>INDEX(' Table A1 feeder rounded values'!$C$14:$BA$45,' Table A1 feeder rounded values'!$B34,' Table A1 feeder rounded values'!E$12+$AA$5)</f>
        <v>210</v>
      </c>
      <c r="F39" s="83"/>
      <c r="G39" s="83">
        <f>INDEX(' Table A1 feeder rounded values'!$C$14:$BA$45,' Table A1 feeder rounded values'!$B34,' Table A1 feeder rounded values'!G$12+$AA$5)</f>
        <v>160</v>
      </c>
      <c r="H39" s="83">
        <f>INDEX(' Table A1 feeder rounded values'!$C$14:$BA$45,' Table A1 feeder rounded values'!$B34,' Table A1 feeder rounded values'!H$12+$AA$5)</f>
        <v>30</v>
      </c>
      <c r="I39" s="83">
        <f>INDEX(' Table A1 feeder rounded values'!$C$14:$BA$45,' Table A1 feeder rounded values'!$B34,' Table A1 feeder rounded values'!I$12+$AA$5)</f>
        <v>130</v>
      </c>
      <c r="J39" s="176"/>
      <c r="K39" s="83">
        <f>INDEX(' Table A1 feeder rounded values'!$C$14:$BA$45,' Table A1 feeder rounded values'!$B34,' Table A1 feeder rounded values'!K$12+$AA$5)</f>
        <v>47</v>
      </c>
      <c r="L39" s="176"/>
      <c r="M39" s="83">
        <f>INDEX(' Table A1 feeder rounded values'!$C$14:$BA$45,' Table A1 feeder rounded values'!$B34,' Table A1 feeder rounded values'!M$12+$AA$5)</f>
        <v>63</v>
      </c>
      <c r="N39" s="176"/>
      <c r="O39" s="83">
        <f>INDEX(' Table A1 feeder rounded values'!$C$14:$BA$45,' Table A1 feeder rounded values'!$B34,' Table A1 feeder rounded values'!O$12+$AA$5)</f>
        <v>25</v>
      </c>
      <c r="P39" s="83" t="str">
        <f>INDEX(' Table A1 feeder rounded values'!$C$14:$BA$45,' Table A1 feeder rounded values'!$B34,' Table A1 feeder rounded values'!P$12+$AA$5)</f>
        <v>x</v>
      </c>
      <c r="Q39" s="83">
        <f>INDEX(' Table A1 feeder rounded values'!$C$14:$BA$45,' Table A1 feeder rounded values'!$B34,' Table A1 feeder rounded values'!Q$12+$AA$5)</f>
        <v>28</v>
      </c>
    </row>
    <row r="40" spans="1:17" ht="15" customHeight="1" x14ac:dyDescent="0.25">
      <c r="A40" s="235" t="s">
        <v>37</v>
      </c>
      <c r="B40" s="203"/>
      <c r="C40" s="83">
        <f>INDEX(' Table A1 feeder rounded values'!$C$14:$BA$45,' Table A1 feeder rounded values'!$B35,' Table A1 feeder rounded values'!C$12+$AA$5)</f>
        <v>370</v>
      </c>
      <c r="D40" s="83"/>
      <c r="E40" s="83">
        <f>INDEX(' Table A1 feeder rounded values'!$C$14:$BA$45,' Table A1 feeder rounded values'!$B35,' Table A1 feeder rounded values'!E$12+$AA$5)</f>
        <v>210</v>
      </c>
      <c r="F40" s="83"/>
      <c r="G40" s="83">
        <f>INDEX(' Table A1 feeder rounded values'!$C$14:$BA$45,' Table A1 feeder rounded values'!$B35,' Table A1 feeder rounded values'!G$12+$AA$5)</f>
        <v>160</v>
      </c>
      <c r="H40" s="83">
        <f>INDEX(' Table A1 feeder rounded values'!$C$14:$BA$45,' Table A1 feeder rounded values'!$B35,' Table A1 feeder rounded values'!H$12+$AA$5)</f>
        <v>30</v>
      </c>
      <c r="I40" s="83">
        <f>INDEX(' Table A1 feeder rounded values'!$C$14:$BA$45,' Table A1 feeder rounded values'!$B35,' Table A1 feeder rounded values'!I$12+$AA$5)</f>
        <v>130</v>
      </c>
      <c r="J40" s="176"/>
      <c r="K40" s="83">
        <f>INDEX(' Table A1 feeder rounded values'!$C$14:$BA$45,' Table A1 feeder rounded values'!$B35,' Table A1 feeder rounded values'!K$12+$AA$5)</f>
        <v>48</v>
      </c>
      <c r="L40" s="176"/>
      <c r="M40" s="83">
        <f>INDEX(' Table A1 feeder rounded values'!$C$14:$BA$45,' Table A1 feeder rounded values'!$B35,' Table A1 feeder rounded values'!M$12+$AA$5)</f>
        <v>68</v>
      </c>
      <c r="N40" s="176"/>
      <c r="O40" s="83">
        <f>INDEX(' Table A1 feeder rounded values'!$C$14:$BA$45,' Table A1 feeder rounded values'!$B35,' Table A1 feeder rounded values'!O$12+$AA$5)</f>
        <v>23</v>
      </c>
      <c r="P40" s="83" t="str">
        <f>INDEX(' Table A1 feeder rounded values'!$C$14:$BA$45,' Table A1 feeder rounded values'!$B35,' Table A1 feeder rounded values'!P$12+$AA$5)</f>
        <v>x</v>
      </c>
      <c r="Q40" s="83">
        <f>INDEX(' Table A1 feeder rounded values'!$C$14:$BA$45,' Table A1 feeder rounded values'!$B35,' Table A1 feeder rounded values'!Q$12+$AA$5)</f>
        <v>27</v>
      </c>
    </row>
    <row r="41" spans="1:17" ht="15" customHeight="1" x14ac:dyDescent="0.25">
      <c r="A41" s="235" t="s">
        <v>38</v>
      </c>
      <c r="B41" s="203"/>
      <c r="C41" s="83">
        <f>INDEX(' Table A1 feeder rounded values'!$C$14:$BA$45,' Table A1 feeder rounded values'!$B36,' Table A1 feeder rounded values'!C$12+$AA$5)</f>
        <v>370</v>
      </c>
      <c r="D41" s="83"/>
      <c r="E41" s="83">
        <f>INDEX(' Table A1 feeder rounded values'!$C$14:$BA$45,' Table A1 feeder rounded values'!$B36,' Table A1 feeder rounded values'!E$12+$AA$5)</f>
        <v>210</v>
      </c>
      <c r="F41" s="83"/>
      <c r="G41" s="83">
        <f>INDEX(' Table A1 feeder rounded values'!$C$14:$BA$45,' Table A1 feeder rounded values'!$B36,' Table A1 feeder rounded values'!G$12+$AA$5)</f>
        <v>160</v>
      </c>
      <c r="H41" s="83">
        <f>INDEX(' Table A1 feeder rounded values'!$C$14:$BA$45,' Table A1 feeder rounded values'!$B36,' Table A1 feeder rounded values'!H$12+$AA$5)</f>
        <v>30</v>
      </c>
      <c r="I41" s="83">
        <f>INDEX(' Table A1 feeder rounded values'!$C$14:$BA$45,' Table A1 feeder rounded values'!$B36,' Table A1 feeder rounded values'!I$12+$AA$5)</f>
        <v>130</v>
      </c>
      <c r="J41" s="176"/>
      <c r="K41" s="83">
        <f>INDEX(' Table A1 feeder rounded values'!$C$14:$BA$45,' Table A1 feeder rounded values'!$B36,' Table A1 feeder rounded values'!K$12+$AA$5)</f>
        <v>28</v>
      </c>
      <c r="L41" s="176"/>
      <c r="M41" s="83">
        <f>INDEX(' Table A1 feeder rounded values'!$C$14:$BA$45,' Table A1 feeder rounded values'!$B36,' Table A1 feeder rounded values'!M$12+$AA$5)</f>
        <v>42</v>
      </c>
      <c r="N41" s="176"/>
      <c r="O41" s="83">
        <f>INDEX(' Table A1 feeder rounded values'!$C$14:$BA$45,' Table A1 feeder rounded values'!$B36,' Table A1 feeder rounded values'!O$12+$AA$5)</f>
        <v>9</v>
      </c>
      <c r="P41" s="83" t="str">
        <f>INDEX(' Table A1 feeder rounded values'!$C$14:$BA$45,' Table A1 feeder rounded values'!$B36,' Table A1 feeder rounded values'!P$12+$AA$5)</f>
        <v>x</v>
      </c>
      <c r="Q41" s="83">
        <f>INDEX(' Table A1 feeder rounded values'!$C$14:$BA$45,' Table A1 feeder rounded values'!$B36,' Table A1 feeder rounded values'!Q$12+$AA$5)</f>
        <v>10</v>
      </c>
    </row>
    <row r="42" spans="1:17" ht="15" customHeight="1" x14ac:dyDescent="0.25">
      <c r="A42" s="235"/>
      <c r="B42" s="203"/>
      <c r="C42" s="83"/>
      <c r="D42" s="83"/>
      <c r="E42" s="83"/>
      <c r="F42" s="83"/>
      <c r="G42" s="83"/>
      <c r="H42" s="83"/>
      <c r="I42" s="83"/>
      <c r="K42" s="288"/>
      <c r="L42" s="287"/>
      <c r="M42" s="288"/>
      <c r="N42" s="287"/>
      <c r="O42" s="288"/>
      <c r="P42" s="288"/>
      <c r="Q42" s="288"/>
    </row>
    <row r="43" spans="1:17" ht="15" customHeight="1" x14ac:dyDescent="0.25">
      <c r="A43" s="113" t="s">
        <v>20</v>
      </c>
      <c r="B43" s="198"/>
      <c r="C43" s="83"/>
      <c r="D43" s="83"/>
      <c r="E43" s="83"/>
      <c r="F43" s="83"/>
      <c r="G43" s="83"/>
      <c r="H43" s="83"/>
      <c r="I43" s="236"/>
      <c r="K43" s="287"/>
      <c r="L43" s="287"/>
      <c r="M43" s="287"/>
      <c r="N43" s="287"/>
      <c r="O43" s="287"/>
      <c r="P43" s="287"/>
      <c r="Q43" s="287"/>
    </row>
    <row r="44" spans="1:17" ht="15" customHeight="1" x14ac:dyDescent="0.25">
      <c r="A44" s="84"/>
      <c r="B44" s="198"/>
      <c r="C44" s="83"/>
      <c r="D44" s="83"/>
      <c r="E44" s="83"/>
      <c r="F44" s="83"/>
      <c r="G44" s="83"/>
      <c r="H44" s="83"/>
      <c r="I44" s="236"/>
      <c r="K44" s="287"/>
      <c r="L44" s="287"/>
      <c r="M44" s="287"/>
      <c r="N44" s="287"/>
      <c r="O44" s="287"/>
      <c r="P44" s="287"/>
      <c r="Q44" s="287"/>
    </row>
    <row r="45" spans="1:17" ht="15" customHeight="1" x14ac:dyDescent="0.25">
      <c r="A45" s="202" t="s">
        <v>24</v>
      </c>
      <c r="B45" s="198"/>
      <c r="C45" s="83"/>
      <c r="D45" s="83"/>
      <c r="E45" s="83"/>
      <c r="F45" s="83"/>
      <c r="G45" s="83"/>
      <c r="H45" s="83"/>
      <c r="I45" s="236"/>
      <c r="K45" s="287"/>
      <c r="L45" s="287"/>
      <c r="M45" s="287"/>
      <c r="N45" s="287"/>
      <c r="O45" s="287"/>
      <c r="P45" s="287"/>
      <c r="Q45" s="287"/>
    </row>
    <row r="46" spans="1:17" ht="15" customHeight="1" x14ac:dyDescent="0.25">
      <c r="A46" s="235" t="s">
        <v>35</v>
      </c>
      <c r="B46" s="202"/>
      <c r="C46" s="83">
        <f>INDEX(' Table A1 feeder rounded values'!$C$14:$BA$45,' Table A1 feeder rounded values'!$B41,' Table A1 feeder rounded values'!C$12+$AA$5)</f>
        <v>3630</v>
      </c>
      <c r="D46" s="83"/>
      <c r="E46" s="83">
        <f>INDEX(' Table A1 feeder rounded values'!$C$14:$BA$45,' Table A1 feeder rounded values'!$B41,' Table A1 feeder rounded values'!E$12+$AA$5)</f>
        <v>1960</v>
      </c>
      <c r="F46" s="83"/>
      <c r="G46" s="83">
        <f>INDEX(' Table A1 feeder rounded values'!$C$14:$BA$45,' Table A1 feeder rounded values'!$B41,' Table A1 feeder rounded values'!G$12+$AA$5)</f>
        <v>1670</v>
      </c>
      <c r="H46" s="83">
        <f>INDEX(' Table A1 feeder rounded values'!$C$14:$BA$45,' Table A1 feeder rounded values'!$B41,' Table A1 feeder rounded values'!H$12+$AA$5)</f>
        <v>440</v>
      </c>
      <c r="I46" s="83">
        <f>INDEX(' Table A1 feeder rounded values'!$C$14:$BA$45,' Table A1 feeder rounded values'!$B41,' Table A1 feeder rounded values'!I$12+$AA$5)</f>
        <v>1230</v>
      </c>
      <c r="J46" s="176"/>
      <c r="K46" s="83">
        <f>INDEX(' Table A1 feeder rounded values'!$C$14:$BA$45,' Table A1 feeder rounded values'!$B41,' Table A1 feeder rounded values'!K$12+$AA$5)</f>
        <v>49</v>
      </c>
      <c r="L46" s="176"/>
      <c r="M46" s="83">
        <f>INDEX(' Table A1 feeder rounded values'!$C$14:$BA$45,' Table A1 feeder rounded values'!$B41,' Table A1 feeder rounded values'!M$12+$AA$5)</f>
        <v>67</v>
      </c>
      <c r="N46" s="176"/>
      <c r="O46" s="83">
        <f>INDEX(' Table A1 feeder rounded values'!$C$14:$BA$45,' Table A1 feeder rounded values'!$B41,' Table A1 feeder rounded values'!O$12+$AA$5)</f>
        <v>28</v>
      </c>
      <c r="P46" s="83">
        <f>INDEX(' Table A1 feeder rounded values'!$C$14:$BA$45,' Table A1 feeder rounded values'!$B41,' Table A1 feeder rounded values'!P$12+$AA$5)</f>
        <v>15</v>
      </c>
      <c r="Q46" s="83">
        <f>INDEX(' Table A1 feeder rounded values'!$C$14:$BA$45,' Table A1 feeder rounded values'!$B41,' Table A1 feeder rounded values'!Q$12+$AA$5)</f>
        <v>32</v>
      </c>
    </row>
    <row r="47" spans="1:17" ht="15" customHeight="1" x14ac:dyDescent="0.25">
      <c r="A47" s="235" t="s">
        <v>36</v>
      </c>
      <c r="B47" s="185"/>
      <c r="C47" s="83">
        <f>INDEX(' Table A1 feeder rounded values'!$C$14:$BA$45,' Table A1 feeder rounded values'!$B42,' Table A1 feeder rounded values'!C$12+$AA$5)</f>
        <v>3620</v>
      </c>
      <c r="D47" s="83"/>
      <c r="E47" s="83">
        <f>INDEX(' Table A1 feeder rounded values'!$C$14:$BA$45,' Table A1 feeder rounded values'!$B42,' Table A1 feeder rounded values'!E$12+$AA$5)</f>
        <v>1960</v>
      </c>
      <c r="F47" s="83"/>
      <c r="G47" s="83">
        <f>INDEX(' Table A1 feeder rounded values'!$C$14:$BA$45,' Table A1 feeder rounded values'!$B42,' Table A1 feeder rounded values'!G$12+$AA$5)</f>
        <v>1660</v>
      </c>
      <c r="H47" s="83">
        <f>INDEX(' Table A1 feeder rounded values'!$C$14:$BA$45,' Table A1 feeder rounded values'!$B42,' Table A1 feeder rounded values'!H$12+$AA$5)</f>
        <v>430</v>
      </c>
      <c r="I47" s="83">
        <f>INDEX(' Table A1 feeder rounded values'!$C$14:$BA$45,' Table A1 feeder rounded values'!$B42,' Table A1 feeder rounded values'!I$12+$AA$5)</f>
        <v>1230</v>
      </c>
      <c r="J47" s="176"/>
      <c r="K47" s="83">
        <f>INDEX(' Table A1 feeder rounded values'!$C$14:$BA$45,' Table A1 feeder rounded values'!$B42,' Table A1 feeder rounded values'!K$12+$AA$5)</f>
        <v>50</v>
      </c>
      <c r="L47" s="176"/>
      <c r="M47" s="83">
        <f>INDEX(' Table A1 feeder rounded values'!$C$14:$BA$45,' Table A1 feeder rounded values'!$B42,' Table A1 feeder rounded values'!M$12+$AA$5)</f>
        <v>73</v>
      </c>
      <c r="N47" s="176"/>
      <c r="O47" s="83">
        <f>INDEX(' Table A1 feeder rounded values'!$C$14:$BA$45,' Table A1 feeder rounded values'!$B42,' Table A1 feeder rounded values'!O$12+$AA$5)</f>
        <v>24</v>
      </c>
      <c r="P47" s="83">
        <f>INDEX(' Table A1 feeder rounded values'!$C$14:$BA$45,' Table A1 feeder rounded values'!$B42,' Table A1 feeder rounded values'!P$12+$AA$5)</f>
        <v>12</v>
      </c>
      <c r="Q47" s="83">
        <f>INDEX(' Table A1 feeder rounded values'!$C$14:$BA$45,' Table A1 feeder rounded values'!$B42,' Table A1 feeder rounded values'!Q$12+$AA$5)</f>
        <v>28</v>
      </c>
    </row>
    <row r="48" spans="1:17" ht="15" customHeight="1" x14ac:dyDescent="0.25">
      <c r="A48" s="235" t="s">
        <v>34</v>
      </c>
      <c r="B48" s="202"/>
      <c r="C48" s="83">
        <f>INDEX(' Table A1 feeder rounded values'!$C$14:$BA$45,' Table A1 feeder rounded values'!$B43,' Table A1 feeder rounded values'!C$12+$AA$5)</f>
        <v>3630</v>
      </c>
      <c r="D48" s="83"/>
      <c r="E48" s="83">
        <f>INDEX(' Table A1 feeder rounded values'!$C$14:$BA$45,' Table A1 feeder rounded values'!$B43,' Table A1 feeder rounded values'!E$12+$AA$5)</f>
        <v>1960</v>
      </c>
      <c r="F48" s="83"/>
      <c r="G48" s="83">
        <f>INDEX(' Table A1 feeder rounded values'!$C$14:$BA$45,' Table A1 feeder rounded values'!$B43,' Table A1 feeder rounded values'!G$12+$AA$5)</f>
        <v>1670</v>
      </c>
      <c r="H48" s="83">
        <f>INDEX(' Table A1 feeder rounded values'!$C$14:$BA$45,' Table A1 feeder rounded values'!$B43,' Table A1 feeder rounded values'!H$12+$AA$5)</f>
        <v>440</v>
      </c>
      <c r="I48" s="83">
        <f>INDEX(' Table A1 feeder rounded values'!$C$14:$BA$45,' Table A1 feeder rounded values'!$B43,' Table A1 feeder rounded values'!I$12+$AA$5)</f>
        <v>1230</v>
      </c>
      <c r="J48" s="176"/>
      <c r="K48" s="83">
        <f>INDEX(' Table A1 feeder rounded values'!$C$14:$BA$45,' Table A1 feeder rounded values'!$B43,' Table A1 feeder rounded values'!K$12+$AA$5)</f>
        <v>45</v>
      </c>
      <c r="L48" s="176"/>
      <c r="M48" s="83">
        <f>INDEX(' Table A1 feeder rounded values'!$C$14:$BA$45,' Table A1 feeder rounded values'!$B43,' Table A1 feeder rounded values'!M$12+$AA$5)</f>
        <v>63</v>
      </c>
      <c r="N48" s="176"/>
      <c r="O48" s="83">
        <f>INDEX(' Table A1 feeder rounded values'!$C$14:$BA$45,' Table A1 feeder rounded values'!$B43,' Table A1 feeder rounded values'!O$12+$AA$5)</f>
        <v>25</v>
      </c>
      <c r="P48" s="83">
        <f>INDEX(' Table A1 feeder rounded values'!$C$14:$BA$45,' Table A1 feeder rounded values'!$B43,' Table A1 feeder rounded values'!P$12+$AA$5)</f>
        <v>12</v>
      </c>
      <c r="Q48" s="83">
        <f>INDEX(' Table A1 feeder rounded values'!$C$14:$BA$45,' Table A1 feeder rounded values'!$B43,' Table A1 feeder rounded values'!Q$12+$AA$5)</f>
        <v>30</v>
      </c>
    </row>
    <row r="49" spans="1:19" ht="15" customHeight="1" x14ac:dyDescent="0.25">
      <c r="A49" s="235" t="s">
        <v>37</v>
      </c>
      <c r="B49" s="203"/>
      <c r="C49" s="83">
        <f>INDEX(' Table A1 feeder rounded values'!$C$14:$BA$45,' Table A1 feeder rounded values'!$B44,' Table A1 feeder rounded values'!C$12+$AA$5)</f>
        <v>3630</v>
      </c>
      <c r="D49" s="83"/>
      <c r="E49" s="83">
        <f>INDEX(' Table A1 feeder rounded values'!$C$14:$BA$45,' Table A1 feeder rounded values'!$B44,' Table A1 feeder rounded values'!E$12+$AA$5)</f>
        <v>1960</v>
      </c>
      <c r="F49" s="83"/>
      <c r="G49" s="83">
        <f>INDEX(' Table A1 feeder rounded values'!$C$14:$BA$45,' Table A1 feeder rounded values'!$B44,' Table A1 feeder rounded values'!G$12+$AA$5)</f>
        <v>1670</v>
      </c>
      <c r="H49" s="83">
        <f>INDEX(' Table A1 feeder rounded values'!$C$14:$BA$45,' Table A1 feeder rounded values'!$B44,' Table A1 feeder rounded values'!H$12+$AA$5)</f>
        <v>440</v>
      </c>
      <c r="I49" s="83">
        <f>INDEX(' Table A1 feeder rounded values'!$C$14:$BA$45,' Table A1 feeder rounded values'!$B44,' Table A1 feeder rounded values'!I$12+$AA$5)</f>
        <v>1230</v>
      </c>
      <c r="J49" s="176"/>
      <c r="K49" s="83">
        <f>INDEX(' Table A1 feeder rounded values'!$C$14:$BA$45,' Table A1 feeder rounded values'!$B44,' Table A1 feeder rounded values'!K$12+$AA$5)</f>
        <v>50</v>
      </c>
      <c r="L49" s="176"/>
      <c r="M49" s="83">
        <f>INDEX(' Table A1 feeder rounded values'!$C$14:$BA$45,' Table A1 feeder rounded values'!$B44,' Table A1 feeder rounded values'!M$12+$AA$5)</f>
        <v>71</v>
      </c>
      <c r="N49" s="176"/>
      <c r="O49" s="83">
        <f>INDEX(' Table A1 feeder rounded values'!$C$14:$BA$45,' Table A1 feeder rounded values'!$B44,' Table A1 feeder rounded values'!O$12+$AA$5)</f>
        <v>26</v>
      </c>
      <c r="P49" s="83">
        <f>INDEX(' Table A1 feeder rounded values'!$C$14:$BA$45,' Table A1 feeder rounded values'!$B44,' Table A1 feeder rounded values'!P$12+$AA$5)</f>
        <v>14</v>
      </c>
      <c r="Q49" s="83">
        <f>INDEX(' Table A1 feeder rounded values'!$C$14:$BA$45,' Table A1 feeder rounded values'!$B44,' Table A1 feeder rounded values'!Q$12+$AA$5)</f>
        <v>30</v>
      </c>
    </row>
    <row r="50" spans="1:19" ht="15" customHeight="1" x14ac:dyDescent="0.25">
      <c r="A50" s="235" t="s">
        <v>38</v>
      </c>
      <c r="B50" s="203"/>
      <c r="C50" s="83">
        <f>INDEX(' Table A1 feeder rounded values'!$C$14:$BA$45,' Table A1 feeder rounded values'!$B45,' Table A1 feeder rounded values'!C$12+$AA$5)</f>
        <v>3620</v>
      </c>
      <c r="D50" s="83"/>
      <c r="E50" s="83">
        <f>INDEX(' Table A1 feeder rounded values'!$C$14:$BA$45,' Table A1 feeder rounded values'!$B45,' Table A1 feeder rounded values'!E$12+$AA$5)</f>
        <v>1960</v>
      </c>
      <c r="F50" s="83"/>
      <c r="G50" s="83">
        <f>INDEX(' Table A1 feeder rounded values'!$C$14:$BA$45,' Table A1 feeder rounded values'!$B45,' Table A1 feeder rounded values'!G$12+$AA$5)</f>
        <v>1660</v>
      </c>
      <c r="H50" s="83">
        <f>INDEX(' Table A1 feeder rounded values'!$C$14:$BA$45,' Table A1 feeder rounded values'!$B45,' Table A1 feeder rounded values'!H$12+$AA$5)</f>
        <v>430</v>
      </c>
      <c r="I50" s="83">
        <f>INDEX(' Table A1 feeder rounded values'!$C$14:$BA$45,' Table A1 feeder rounded values'!$B45,' Table A1 feeder rounded values'!I$12+$AA$5)</f>
        <v>1230</v>
      </c>
      <c r="J50" s="176"/>
      <c r="K50" s="83">
        <f>INDEX(' Table A1 feeder rounded values'!$C$14:$BA$45,' Table A1 feeder rounded values'!$B45,' Table A1 feeder rounded values'!K$12+$AA$5)</f>
        <v>30</v>
      </c>
      <c r="L50" s="176"/>
      <c r="M50" s="83">
        <f>INDEX(' Table A1 feeder rounded values'!$C$14:$BA$45,' Table A1 feeder rounded values'!$B45,' Table A1 feeder rounded values'!M$12+$AA$5)</f>
        <v>46</v>
      </c>
      <c r="N50" s="176"/>
      <c r="O50" s="83">
        <f>INDEX(' Table A1 feeder rounded values'!$C$14:$BA$45,' Table A1 feeder rounded values'!$B45,' Table A1 feeder rounded values'!O$12+$AA$5)</f>
        <v>11</v>
      </c>
      <c r="P50" s="83">
        <f>INDEX(' Table A1 feeder rounded values'!$C$14:$BA$45,' Table A1 feeder rounded values'!$B45,' Table A1 feeder rounded values'!P$12+$AA$5)</f>
        <v>4</v>
      </c>
      <c r="Q50" s="83">
        <f>INDEX(' Table A1 feeder rounded values'!$C$14:$BA$45,' Table A1 feeder rounded values'!$B45,' Table A1 feeder rounded values'!Q$12+$AA$5)</f>
        <v>13</v>
      </c>
    </row>
    <row r="51" spans="1:19" ht="15" customHeight="1" x14ac:dyDescent="0.25">
      <c r="A51" s="234"/>
      <c r="B51" s="234"/>
      <c r="C51" s="234"/>
      <c r="D51" s="234"/>
      <c r="E51" s="234"/>
      <c r="F51" s="234"/>
      <c r="G51" s="234"/>
      <c r="H51" s="234"/>
      <c r="I51" s="234"/>
      <c r="J51" s="234"/>
      <c r="K51" s="234"/>
      <c r="L51" s="234"/>
      <c r="M51" s="234"/>
      <c r="N51" s="234"/>
      <c r="O51" s="234"/>
      <c r="P51" s="234"/>
      <c r="Q51" s="234"/>
    </row>
    <row r="52" spans="1:19" x14ac:dyDescent="0.25">
      <c r="Q52" s="178" t="s">
        <v>121</v>
      </c>
    </row>
    <row r="53" spans="1:19" x14ac:dyDescent="0.25">
      <c r="A53" s="192"/>
      <c r="Q53" s="237"/>
    </row>
    <row r="54" spans="1:19" ht="33.75" customHeight="1" x14ac:dyDescent="0.25">
      <c r="A54" s="336" t="s">
        <v>185</v>
      </c>
      <c r="B54" s="339"/>
      <c r="C54" s="339"/>
      <c r="D54" s="339"/>
      <c r="E54" s="339"/>
      <c r="F54" s="339"/>
      <c r="G54" s="339"/>
      <c r="H54" s="339"/>
      <c r="I54" s="339"/>
      <c r="J54" s="339"/>
      <c r="K54" s="339"/>
      <c r="L54" s="339"/>
      <c r="M54" s="339"/>
      <c r="N54" s="339"/>
      <c r="O54" s="339"/>
      <c r="P54" s="339"/>
      <c r="Q54" s="339"/>
      <c r="S54" s="211"/>
    </row>
    <row r="55" spans="1:19" ht="11.25" customHeight="1" x14ac:dyDescent="0.25">
      <c r="A55" s="336" t="s">
        <v>142</v>
      </c>
      <c r="B55" s="335"/>
      <c r="C55" s="335"/>
      <c r="D55" s="335"/>
      <c r="E55" s="335"/>
      <c r="F55" s="335"/>
      <c r="G55" s="335"/>
      <c r="H55" s="335"/>
      <c r="I55" s="335"/>
      <c r="J55" s="335"/>
      <c r="K55" s="335"/>
      <c r="L55" s="335"/>
      <c r="M55" s="335"/>
      <c r="N55" s="335"/>
      <c r="O55" s="335"/>
      <c r="P55" s="335"/>
      <c r="Q55" s="335"/>
    </row>
    <row r="56" spans="1:19" ht="11.25" customHeight="1" x14ac:dyDescent="0.25">
      <c r="A56" s="334" t="s">
        <v>143</v>
      </c>
      <c r="B56" s="340"/>
      <c r="C56" s="340"/>
      <c r="D56" s="340"/>
      <c r="E56" s="340"/>
      <c r="F56" s="340"/>
      <c r="G56" s="340"/>
      <c r="H56" s="340"/>
      <c r="I56" s="340"/>
      <c r="J56" s="340"/>
      <c r="K56" s="340"/>
      <c r="L56" s="340"/>
      <c r="M56" s="340"/>
      <c r="N56" s="340"/>
      <c r="O56" s="340"/>
      <c r="P56" s="340"/>
      <c r="Q56" s="340"/>
    </row>
    <row r="57" spans="1:19" ht="11.25" customHeight="1" x14ac:dyDescent="0.25">
      <c r="A57" s="334" t="s">
        <v>144</v>
      </c>
      <c r="B57" s="335"/>
      <c r="C57" s="335"/>
      <c r="D57" s="335"/>
      <c r="E57" s="335"/>
      <c r="F57" s="335"/>
      <c r="G57" s="335"/>
      <c r="H57" s="335"/>
      <c r="I57" s="335"/>
      <c r="J57" s="335"/>
      <c r="K57" s="335"/>
      <c r="L57" s="335"/>
      <c r="M57" s="335"/>
      <c r="N57" s="335"/>
      <c r="O57" s="335"/>
      <c r="P57" s="335"/>
      <c r="Q57" s="335"/>
    </row>
    <row r="58" spans="1:19" s="295" customFormat="1" ht="22.5" customHeight="1" x14ac:dyDescent="0.25">
      <c r="A58" s="334" t="s">
        <v>145</v>
      </c>
      <c r="B58" s="335"/>
      <c r="C58" s="335"/>
      <c r="D58" s="335"/>
      <c r="E58" s="335"/>
      <c r="F58" s="335"/>
      <c r="G58" s="335"/>
      <c r="H58" s="335"/>
      <c r="I58" s="335"/>
      <c r="J58" s="335"/>
      <c r="K58" s="335"/>
      <c r="L58" s="335"/>
      <c r="M58" s="335"/>
      <c r="N58" s="335"/>
      <c r="O58" s="335"/>
      <c r="P58" s="335"/>
      <c r="Q58" s="335"/>
    </row>
    <row r="59" spans="1:19" s="295" customFormat="1" ht="33.75" customHeight="1" x14ac:dyDescent="0.25">
      <c r="A59" s="334" t="s">
        <v>146</v>
      </c>
      <c r="B59" s="335"/>
      <c r="C59" s="335"/>
      <c r="D59" s="335"/>
      <c r="E59" s="335"/>
      <c r="F59" s="335"/>
      <c r="G59" s="335"/>
      <c r="H59" s="335"/>
      <c r="I59" s="335"/>
      <c r="J59" s="335"/>
      <c r="K59" s="335"/>
      <c r="L59" s="335"/>
      <c r="M59" s="335"/>
      <c r="N59" s="335"/>
      <c r="O59" s="335"/>
      <c r="P59" s="335"/>
      <c r="Q59" s="335"/>
    </row>
    <row r="60" spans="1:19" ht="11.25" customHeight="1" x14ac:dyDescent="0.25">
      <c r="A60" s="336" t="s">
        <v>147</v>
      </c>
      <c r="B60" s="335"/>
      <c r="C60" s="335"/>
      <c r="D60" s="335"/>
      <c r="E60" s="335"/>
      <c r="F60" s="335"/>
      <c r="G60" s="335"/>
      <c r="H60" s="335"/>
      <c r="I60" s="335"/>
      <c r="J60" s="335"/>
      <c r="K60" s="335"/>
      <c r="L60" s="335"/>
      <c r="M60" s="335"/>
      <c r="N60" s="335"/>
      <c r="O60" s="335"/>
      <c r="P60" s="335"/>
      <c r="Q60" s="335"/>
    </row>
    <row r="61" spans="1:19" ht="11.25" customHeight="1" x14ac:dyDescent="0.25">
      <c r="A61" s="337" t="s">
        <v>148</v>
      </c>
      <c r="B61" s="338"/>
      <c r="C61" s="338"/>
      <c r="D61" s="338"/>
      <c r="E61" s="338"/>
      <c r="F61" s="338"/>
      <c r="G61" s="338"/>
      <c r="H61" s="338"/>
      <c r="I61" s="338"/>
      <c r="J61" s="338"/>
      <c r="K61" s="338"/>
      <c r="L61" s="338"/>
      <c r="M61" s="338"/>
      <c r="N61" s="338"/>
      <c r="O61" s="338"/>
      <c r="P61" s="338"/>
      <c r="Q61" s="338"/>
    </row>
    <row r="62" spans="1:19" ht="11.25" customHeight="1" x14ac:dyDescent="0.25">
      <c r="A62" s="198"/>
      <c r="B62" s="198"/>
      <c r="C62" s="198"/>
      <c r="D62" s="198"/>
      <c r="E62" s="198"/>
      <c r="F62" s="198"/>
      <c r="G62" s="198"/>
      <c r="H62" s="198"/>
      <c r="I62" s="198"/>
      <c r="J62" s="198"/>
      <c r="K62" s="198"/>
      <c r="L62" s="198"/>
      <c r="M62" s="198"/>
      <c r="N62" s="198"/>
      <c r="O62" s="198"/>
      <c r="P62" s="198"/>
      <c r="Q62" s="198"/>
    </row>
    <row r="63" spans="1:19" ht="11.25" customHeight="1" x14ac:dyDescent="0.25">
      <c r="A63" s="336" t="s">
        <v>163</v>
      </c>
      <c r="B63" s="335"/>
      <c r="C63" s="335"/>
      <c r="D63" s="335"/>
      <c r="E63" s="335"/>
      <c r="F63" s="335"/>
      <c r="G63" s="335"/>
      <c r="H63" s="335"/>
      <c r="I63" s="335"/>
      <c r="J63" s="335"/>
      <c r="K63" s="335"/>
      <c r="L63" s="335"/>
      <c r="M63" s="335"/>
      <c r="N63" s="335"/>
      <c r="O63" s="335"/>
      <c r="P63" s="335"/>
      <c r="Q63" s="335"/>
    </row>
    <row r="64" spans="1:19" ht="11.25" customHeight="1" x14ac:dyDescent="0.25">
      <c r="A64" s="336" t="s">
        <v>149</v>
      </c>
      <c r="B64" s="335"/>
      <c r="C64" s="335"/>
      <c r="D64" s="335"/>
      <c r="E64" s="335"/>
      <c r="F64" s="335"/>
      <c r="G64" s="335"/>
      <c r="H64" s="335"/>
      <c r="I64" s="335"/>
      <c r="J64" s="335"/>
      <c r="K64" s="335"/>
      <c r="L64" s="335"/>
      <c r="M64" s="335"/>
      <c r="N64" s="335"/>
      <c r="O64" s="335"/>
      <c r="P64" s="335"/>
      <c r="Q64" s="335"/>
    </row>
    <row r="65" spans="1:17" ht="11.25" customHeight="1" x14ac:dyDescent="0.25">
      <c r="A65" s="235" t="s">
        <v>150</v>
      </c>
      <c r="B65" s="198"/>
      <c r="C65" s="198"/>
      <c r="D65" s="198"/>
      <c r="E65" s="198"/>
      <c r="F65" s="198"/>
      <c r="G65" s="198"/>
      <c r="H65" s="198"/>
      <c r="I65" s="198"/>
      <c r="J65" s="198"/>
      <c r="K65" s="198"/>
      <c r="L65" s="198"/>
      <c r="M65" s="198"/>
      <c r="N65" s="198"/>
      <c r="O65" s="198"/>
      <c r="P65" s="198"/>
      <c r="Q65" s="198"/>
    </row>
    <row r="66" spans="1:17" ht="11.25" customHeight="1" x14ac:dyDescent="0.25">
      <c r="A66" s="235" t="s">
        <v>151</v>
      </c>
      <c r="B66" s="198"/>
      <c r="C66" s="198"/>
      <c r="D66" s="198"/>
      <c r="E66" s="198"/>
      <c r="F66" s="198"/>
      <c r="G66" s="198"/>
      <c r="H66" s="198"/>
      <c r="I66" s="198"/>
      <c r="J66" s="198"/>
      <c r="K66" s="198"/>
      <c r="L66" s="198"/>
      <c r="M66" s="198"/>
      <c r="N66" s="198"/>
      <c r="O66" s="198"/>
      <c r="P66" s="198"/>
      <c r="Q66" s="198"/>
    </row>
    <row r="67" spans="1:17" ht="11.25" customHeight="1" x14ac:dyDescent="0.25">
      <c r="A67" s="235" t="s">
        <v>152</v>
      </c>
      <c r="B67" s="198"/>
      <c r="C67" s="198"/>
      <c r="D67" s="198"/>
      <c r="E67" s="198"/>
      <c r="F67" s="198"/>
      <c r="G67" s="198"/>
      <c r="H67" s="198"/>
      <c r="I67" s="198"/>
      <c r="J67" s="198"/>
      <c r="K67" s="198"/>
      <c r="L67" s="198"/>
      <c r="M67" s="198"/>
      <c r="N67" s="198"/>
      <c r="O67" s="198"/>
      <c r="P67" s="198"/>
      <c r="Q67" s="198"/>
    </row>
    <row r="68" spans="1:17" ht="11.25" customHeight="1" x14ac:dyDescent="0.25">
      <c r="A68" s="235" t="str">
        <f>"-  (hyphen)  negligible"</f>
        <v>-  (hyphen)  negligible</v>
      </c>
      <c r="B68" s="198"/>
      <c r="C68" s="198"/>
      <c r="D68" s="198"/>
      <c r="E68" s="198"/>
      <c r="F68" s="198"/>
      <c r="G68" s="198"/>
      <c r="H68" s="198"/>
      <c r="I68" s="198"/>
      <c r="J68" s="198"/>
      <c r="K68" s="198"/>
      <c r="L68" s="198"/>
      <c r="M68" s="198"/>
      <c r="N68" s="198"/>
      <c r="O68" s="198"/>
      <c r="P68" s="198"/>
      <c r="Q68" s="198"/>
    </row>
    <row r="69" spans="1:17" ht="11.25" customHeight="1" x14ac:dyDescent="0.25">
      <c r="A69" s="198" t="s">
        <v>27</v>
      </c>
      <c r="B69" s="198"/>
      <c r="C69" s="198"/>
      <c r="D69" s="198"/>
      <c r="E69" s="198"/>
      <c r="F69" s="198"/>
      <c r="G69" s="198"/>
      <c r="H69" s="198"/>
      <c r="I69" s="198"/>
      <c r="J69" s="198"/>
      <c r="K69" s="198"/>
      <c r="L69" s="198"/>
      <c r="M69" s="198"/>
      <c r="N69" s="198"/>
      <c r="O69" s="198"/>
      <c r="P69" s="198"/>
      <c r="Q69" s="198"/>
    </row>
    <row r="71" spans="1:17" x14ac:dyDescent="0.25">
      <c r="A71" s="226"/>
      <c r="B71" s="226"/>
      <c r="C71" s="226"/>
      <c r="D71" s="226"/>
      <c r="E71" s="226"/>
      <c r="G71" s="226"/>
    </row>
    <row r="72" spans="1:17" x14ac:dyDescent="0.25">
      <c r="A72" s="226"/>
      <c r="B72" s="226"/>
      <c r="C72" s="226"/>
      <c r="D72" s="226"/>
      <c r="E72" s="226"/>
      <c r="G72" s="226"/>
    </row>
  </sheetData>
  <sheetProtection algorithmName="SHA-512" hashValue="9uBi7j2ftUqz6jVQcYkhwkC42PT+xs7cv95Y4HcQLsRNErU2g1BshHvhNla5yqXipcMFAySR4hM2Usgcc+aw9w==" saltValue="DBuYg/k82T4mu8BN+PrPNw==" spinCount="100000" sheet="1" objects="1" scenarios="1"/>
  <mergeCells count="15">
    <mergeCell ref="A3:Q3"/>
    <mergeCell ref="C13:I13"/>
    <mergeCell ref="K13:Q13"/>
    <mergeCell ref="AA13:AI16"/>
    <mergeCell ref="A7:Q9"/>
    <mergeCell ref="A54:Q54"/>
    <mergeCell ref="A55:Q55"/>
    <mergeCell ref="A56:Q56"/>
    <mergeCell ref="A57:Q57"/>
    <mergeCell ref="A58:Q58"/>
    <mergeCell ref="A59:Q59"/>
    <mergeCell ref="A60:Q60"/>
    <mergeCell ref="A61:Q61"/>
    <mergeCell ref="A63:Q63"/>
    <mergeCell ref="A64:Q64"/>
  </mergeCells>
  <dataValidations count="1">
    <dataValidation type="list" allowBlank="1" showInputMessage="1" showErrorMessage="1" sqref="Q11">
      <formula1>$AA$1:$AA$3</formula1>
    </dataValidation>
  </dataValidations>
  <hyperlinks>
    <hyperlink ref="A2" location="INDEX!A1" display="Back to index"/>
    <hyperlink ref="A61" r:id="rId1" display="https://www.gov.uk/government/publications/interim-frameworks-for-teacher-assessment-at-the-end-of-key-stage-2"/>
  </hyperlinks>
  <pageMargins left="0.7" right="0.7" top="0.75" bottom="0.75" header="0.3" footer="0.3"/>
  <pageSetup paperSize="9" scale="4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A38"/>
  <sheetViews>
    <sheetView workbookViewId="0">
      <selection activeCell="C14" sqref="C14"/>
    </sheetView>
  </sheetViews>
  <sheetFormatPr defaultColWidth="9.140625" defaultRowHeight="15" x14ac:dyDescent="0.25"/>
  <cols>
    <col min="1" max="1" width="10" style="16" customWidth="1"/>
    <col min="2" max="2" width="30.5703125" style="16" customWidth="1"/>
    <col min="3" max="3" width="11.5703125" style="16" customWidth="1"/>
    <col min="4" max="4" width="2" style="16" customWidth="1"/>
    <col min="5" max="5" width="9.140625" style="16"/>
    <col min="6" max="6" width="2.5703125" style="16" customWidth="1"/>
    <col min="7" max="7" width="9.140625" style="16"/>
    <col min="8" max="8" width="14" style="16" customWidth="1"/>
    <col min="9" max="9" width="11.5703125" style="16" customWidth="1"/>
    <col min="10" max="10" width="3.5703125" style="16" customWidth="1"/>
    <col min="11" max="11" width="11.5703125" style="16" customWidth="1"/>
    <col min="12" max="12" width="2.42578125" style="16" customWidth="1"/>
    <col min="13" max="13" width="9.140625" style="16"/>
    <col min="14" max="14" width="2.28515625" style="16" customWidth="1"/>
    <col min="15" max="15" width="9.140625" style="16"/>
    <col min="16" max="16" width="14.7109375" style="16" customWidth="1"/>
    <col min="17" max="17" width="11.85546875" style="16" customWidth="1"/>
    <col min="18" max="18" width="9.140625" style="14"/>
    <col min="19" max="19" width="9.140625" style="16"/>
    <col min="20" max="20" width="30.5703125" style="16" customWidth="1"/>
    <col min="21" max="21" width="11.5703125" style="16" customWidth="1"/>
    <col min="22" max="22" width="2" style="16" customWidth="1"/>
    <col min="23" max="23" width="9.140625" style="16"/>
    <col min="24" max="24" width="2.5703125" style="16" customWidth="1"/>
    <col min="25" max="25" width="9.140625" style="16"/>
    <col min="26" max="26" width="14" style="16" customWidth="1"/>
    <col min="27" max="27" width="11.5703125" style="16" customWidth="1"/>
    <col min="28" max="28" width="3.5703125" style="16" customWidth="1"/>
    <col min="29" max="29" width="11.5703125" style="16" customWidth="1"/>
    <col min="30" max="30" width="2.42578125" style="16" customWidth="1"/>
    <col min="31" max="31" width="9.140625" style="16"/>
    <col min="32" max="32" width="2.28515625" style="16" customWidth="1"/>
    <col min="33" max="33" width="9.140625" style="16"/>
    <col min="34" max="34" width="14.7109375" style="16" customWidth="1"/>
    <col min="35" max="35" width="11.85546875" style="16" customWidth="1"/>
    <col min="36" max="36" width="9.140625" style="14"/>
    <col min="37" max="37" width="9.140625" style="16"/>
    <col min="38" max="38" width="30.5703125" style="16" customWidth="1"/>
    <col min="39" max="39" width="11.5703125" style="16" customWidth="1"/>
    <col min="40" max="40" width="2" style="16" customWidth="1"/>
    <col min="41" max="41" width="9.140625" style="16"/>
    <col min="42" max="42" width="2.5703125" style="16" customWidth="1"/>
    <col min="43" max="43" width="9.140625" style="16"/>
    <col min="44" max="44" width="14" style="16" customWidth="1"/>
    <col min="45" max="45" width="11.5703125" style="16" customWidth="1"/>
    <col min="46" max="46" width="3.5703125" style="16" customWidth="1"/>
    <col min="47" max="47" width="11.5703125" style="16" customWidth="1"/>
    <col min="48" max="48" width="2.42578125" style="16" customWidth="1"/>
    <col min="49" max="49" width="9.140625" style="16"/>
    <col min="50" max="50" width="2.28515625" style="16" customWidth="1"/>
    <col min="51" max="51" width="9.140625" style="16"/>
    <col min="52" max="52" width="14.7109375" style="16" customWidth="1"/>
    <col min="53" max="53" width="11.85546875" style="16" customWidth="1"/>
    <col min="54" max="16384" width="9.140625" style="14"/>
  </cols>
  <sheetData>
    <row r="1" spans="1:53" x14ac:dyDescent="0.25">
      <c r="A1" s="81" t="s">
        <v>57</v>
      </c>
      <c r="B1" s="43"/>
      <c r="C1" s="86"/>
      <c r="S1" s="93"/>
      <c r="T1" s="43"/>
      <c r="AL1" s="43"/>
    </row>
    <row r="2" spans="1:53" x14ac:dyDescent="0.25">
      <c r="A2" s="90"/>
      <c r="B2" s="91"/>
      <c r="S2" s="94"/>
      <c r="T2" s="91"/>
      <c r="AK2" s="94"/>
      <c r="AL2" s="91"/>
    </row>
    <row r="3" spans="1:53" x14ac:dyDescent="0.25">
      <c r="A3" s="81"/>
      <c r="B3" s="92" t="s">
        <v>13</v>
      </c>
      <c r="C3" s="20">
        <v>0</v>
      </c>
      <c r="D3" s="19"/>
      <c r="E3" s="20">
        <v>0</v>
      </c>
      <c r="F3" s="19"/>
      <c r="G3" s="20">
        <v>0</v>
      </c>
      <c r="H3" s="20">
        <v>0</v>
      </c>
      <c r="I3" s="20">
        <v>0</v>
      </c>
      <c r="K3" s="20">
        <v>0</v>
      </c>
      <c r="M3" s="20">
        <v>0</v>
      </c>
      <c r="O3" s="20">
        <v>0</v>
      </c>
      <c r="P3" s="20">
        <v>0</v>
      </c>
      <c r="Q3" s="20">
        <v>0</v>
      </c>
      <c r="S3" s="81"/>
      <c r="T3" s="92" t="s">
        <v>13</v>
      </c>
      <c r="U3" s="20">
        <v>8</v>
      </c>
      <c r="V3" s="19"/>
      <c r="W3" s="20">
        <v>8</v>
      </c>
      <c r="X3" s="19"/>
      <c r="Y3" s="20">
        <v>8</v>
      </c>
      <c r="Z3" s="20">
        <v>8</v>
      </c>
      <c r="AA3" s="20">
        <v>8</v>
      </c>
      <c r="AC3" s="20">
        <v>8</v>
      </c>
      <c r="AE3" s="20">
        <v>8</v>
      </c>
      <c r="AG3" s="20">
        <v>8</v>
      </c>
      <c r="AH3" s="20">
        <v>8</v>
      </c>
      <c r="AI3" s="20">
        <v>8</v>
      </c>
      <c r="AK3" s="81"/>
      <c r="AL3" s="92" t="s">
        <v>13</v>
      </c>
      <c r="AM3" s="20">
        <v>16</v>
      </c>
      <c r="AN3" s="19"/>
      <c r="AO3" s="20">
        <v>16</v>
      </c>
      <c r="AP3" s="19"/>
      <c r="AQ3" s="20">
        <v>16</v>
      </c>
      <c r="AR3" s="20">
        <v>16</v>
      </c>
      <c r="AS3" s="20">
        <v>16</v>
      </c>
      <c r="AU3" s="20">
        <v>16</v>
      </c>
      <c r="AW3" s="20">
        <v>16</v>
      </c>
      <c r="AY3" s="20">
        <v>16</v>
      </c>
      <c r="AZ3" s="20">
        <v>16</v>
      </c>
      <c r="BA3" s="20">
        <v>16</v>
      </c>
    </row>
    <row r="4" spans="1:53" x14ac:dyDescent="0.25">
      <c r="A4" s="90"/>
      <c r="B4" s="43" t="s">
        <v>15</v>
      </c>
      <c r="C4" s="20">
        <v>48</v>
      </c>
      <c r="D4" s="20"/>
      <c r="E4" s="20">
        <v>48</v>
      </c>
      <c r="F4" s="20"/>
      <c r="G4" s="20">
        <v>48</v>
      </c>
      <c r="H4" s="20">
        <v>48</v>
      </c>
      <c r="I4" s="20">
        <v>48</v>
      </c>
      <c r="J4" s="20"/>
      <c r="K4" s="20">
        <v>24</v>
      </c>
      <c r="L4" s="20"/>
      <c r="M4" s="20">
        <v>24</v>
      </c>
      <c r="N4" s="20"/>
      <c r="O4" s="20">
        <v>24</v>
      </c>
      <c r="P4" s="20">
        <v>24</v>
      </c>
      <c r="Q4" s="20">
        <v>24</v>
      </c>
      <c r="S4" s="90"/>
      <c r="T4" s="43" t="s">
        <v>15</v>
      </c>
      <c r="U4" s="20">
        <v>48</v>
      </c>
      <c r="V4" s="20"/>
      <c r="W4" s="20">
        <v>48</v>
      </c>
      <c r="X4" s="20"/>
      <c r="Y4" s="20">
        <v>48</v>
      </c>
      <c r="Z4" s="20">
        <v>48</v>
      </c>
      <c r="AA4" s="20">
        <v>48</v>
      </c>
      <c r="AB4" s="20"/>
      <c r="AC4" s="20">
        <v>24</v>
      </c>
      <c r="AD4" s="20"/>
      <c r="AE4" s="20">
        <v>24</v>
      </c>
      <c r="AF4" s="20"/>
      <c r="AG4" s="20">
        <v>24</v>
      </c>
      <c r="AH4" s="20">
        <v>24</v>
      </c>
      <c r="AI4" s="20">
        <v>24</v>
      </c>
      <c r="AK4" s="90"/>
      <c r="AL4" s="43" t="s">
        <v>15</v>
      </c>
      <c r="AM4" s="20">
        <v>48</v>
      </c>
      <c r="AN4" s="20"/>
      <c r="AO4" s="20">
        <v>48</v>
      </c>
      <c r="AP4" s="20"/>
      <c r="AQ4" s="20">
        <v>48</v>
      </c>
      <c r="AR4" s="20">
        <v>48</v>
      </c>
      <c r="AS4" s="20">
        <v>48</v>
      </c>
      <c r="AT4" s="20"/>
      <c r="AU4" s="20">
        <v>24</v>
      </c>
      <c r="AV4" s="20"/>
      <c r="AW4" s="20">
        <v>24</v>
      </c>
      <c r="AX4" s="20"/>
      <c r="AY4" s="20">
        <v>24</v>
      </c>
      <c r="AZ4" s="20">
        <v>24</v>
      </c>
      <c r="BA4" s="20">
        <v>24</v>
      </c>
    </row>
    <row r="5" spans="1:53" x14ac:dyDescent="0.25">
      <c r="A5" s="90"/>
      <c r="B5" s="43" t="s">
        <v>16</v>
      </c>
      <c r="C5" s="20">
        <v>5</v>
      </c>
      <c r="D5" s="20"/>
      <c r="E5" s="20">
        <v>3</v>
      </c>
      <c r="F5" s="22"/>
      <c r="G5" s="20">
        <v>7</v>
      </c>
      <c r="H5" s="20">
        <v>4</v>
      </c>
      <c r="I5" s="20">
        <v>2</v>
      </c>
      <c r="J5" s="20"/>
      <c r="K5" s="20">
        <v>5</v>
      </c>
      <c r="L5" s="20"/>
      <c r="M5" s="20">
        <v>3</v>
      </c>
      <c r="N5" s="20"/>
      <c r="O5" s="20">
        <v>7</v>
      </c>
      <c r="P5" s="20">
        <v>4</v>
      </c>
      <c r="Q5" s="20">
        <v>2</v>
      </c>
      <c r="S5" s="90"/>
      <c r="T5" s="43" t="s">
        <v>16</v>
      </c>
      <c r="U5" s="20">
        <v>5</v>
      </c>
      <c r="V5" s="20"/>
      <c r="W5" s="20">
        <v>3</v>
      </c>
      <c r="X5" s="22"/>
      <c r="Y5" s="20">
        <v>7</v>
      </c>
      <c r="Z5" s="20">
        <v>4</v>
      </c>
      <c r="AA5" s="20">
        <v>2</v>
      </c>
      <c r="AB5" s="20"/>
      <c r="AC5" s="20">
        <v>5</v>
      </c>
      <c r="AD5" s="20"/>
      <c r="AE5" s="20">
        <v>3</v>
      </c>
      <c r="AF5" s="20"/>
      <c r="AG5" s="20">
        <v>7</v>
      </c>
      <c r="AH5" s="20">
        <v>4</v>
      </c>
      <c r="AI5" s="20">
        <v>2</v>
      </c>
      <c r="AK5" s="90"/>
      <c r="AL5" s="43" t="s">
        <v>16</v>
      </c>
      <c r="AM5" s="20">
        <v>5</v>
      </c>
      <c r="AN5" s="20"/>
      <c r="AO5" s="20">
        <v>3</v>
      </c>
      <c r="AP5" s="22"/>
      <c r="AQ5" s="20">
        <v>7</v>
      </c>
      <c r="AR5" s="20">
        <v>4</v>
      </c>
      <c r="AS5" s="20">
        <v>2</v>
      </c>
      <c r="AT5" s="20"/>
      <c r="AU5" s="20">
        <v>5</v>
      </c>
      <c r="AV5" s="20"/>
      <c r="AW5" s="20">
        <v>3</v>
      </c>
      <c r="AX5" s="20"/>
      <c r="AY5" s="20">
        <v>7</v>
      </c>
      <c r="AZ5" s="20">
        <v>4</v>
      </c>
      <c r="BA5" s="20">
        <v>2</v>
      </c>
    </row>
    <row r="6" spans="1:53" x14ac:dyDescent="0.25">
      <c r="A6" s="89" t="s">
        <v>53</v>
      </c>
      <c r="B6" s="43"/>
      <c r="F6" s="23"/>
      <c r="S6" s="89" t="s">
        <v>54</v>
      </c>
      <c r="T6" s="43"/>
      <c r="X6" s="23"/>
      <c r="AK6" s="89" t="s">
        <v>55</v>
      </c>
      <c r="AL6" s="43"/>
      <c r="AP6" s="23"/>
    </row>
    <row r="8" spans="1:53" x14ac:dyDescent="0.25">
      <c r="A8" s="25"/>
      <c r="B8" s="25"/>
      <c r="C8" s="333" t="s">
        <v>21</v>
      </c>
      <c r="D8" s="333"/>
      <c r="E8" s="333"/>
      <c r="F8" s="333"/>
      <c r="G8" s="333"/>
      <c r="H8" s="333"/>
      <c r="I8" s="333"/>
      <c r="J8" s="25"/>
      <c r="K8" s="333" t="s">
        <v>22</v>
      </c>
      <c r="L8" s="333"/>
      <c r="M8" s="333"/>
      <c r="N8" s="333"/>
      <c r="O8" s="333"/>
      <c r="P8" s="333"/>
      <c r="Q8" s="333"/>
      <c r="S8" s="25"/>
      <c r="T8" s="25"/>
      <c r="U8" s="333" t="s">
        <v>21</v>
      </c>
      <c r="V8" s="333"/>
      <c r="W8" s="333"/>
      <c r="X8" s="333"/>
      <c r="Y8" s="333"/>
      <c r="Z8" s="333"/>
      <c r="AA8" s="333"/>
      <c r="AB8" s="25"/>
      <c r="AC8" s="333" t="s">
        <v>22</v>
      </c>
      <c r="AD8" s="333"/>
      <c r="AE8" s="333"/>
      <c r="AF8" s="333"/>
      <c r="AG8" s="333"/>
      <c r="AH8" s="333"/>
      <c r="AI8" s="333"/>
      <c r="AK8" s="25"/>
      <c r="AL8" s="25"/>
      <c r="AM8" s="333" t="s">
        <v>21</v>
      </c>
      <c r="AN8" s="333"/>
      <c r="AO8" s="333"/>
      <c r="AP8" s="333"/>
      <c r="AQ8" s="333"/>
      <c r="AR8" s="333"/>
      <c r="AS8" s="333"/>
      <c r="AT8" s="25"/>
      <c r="AU8" s="333" t="s">
        <v>22</v>
      </c>
      <c r="AV8" s="333"/>
      <c r="AW8" s="333"/>
      <c r="AX8" s="333"/>
      <c r="AY8" s="333"/>
      <c r="AZ8" s="333"/>
      <c r="BA8" s="333"/>
    </row>
    <row r="9" spans="1:53" ht="45" x14ac:dyDescent="0.25">
      <c r="A9" s="26"/>
      <c r="B9" s="26"/>
      <c r="C9" s="27" t="s">
        <v>29</v>
      </c>
      <c r="D9" s="28"/>
      <c r="E9" s="27" t="s">
        <v>23</v>
      </c>
      <c r="F9" s="28"/>
      <c r="G9" s="29" t="s">
        <v>30</v>
      </c>
      <c r="H9" s="27" t="s">
        <v>31</v>
      </c>
      <c r="I9" s="27" t="s">
        <v>32</v>
      </c>
      <c r="J9" s="30"/>
      <c r="K9" s="27" t="s">
        <v>29</v>
      </c>
      <c r="L9" s="28"/>
      <c r="M9" s="27" t="s">
        <v>23</v>
      </c>
      <c r="N9" s="28"/>
      <c r="O9" s="29" t="s">
        <v>30</v>
      </c>
      <c r="P9" s="27" t="s">
        <v>31</v>
      </c>
      <c r="Q9" s="27" t="s">
        <v>32</v>
      </c>
      <c r="S9" s="26"/>
      <c r="T9" s="26"/>
      <c r="U9" s="27" t="s">
        <v>29</v>
      </c>
      <c r="V9" s="28"/>
      <c r="W9" s="27" t="s">
        <v>23</v>
      </c>
      <c r="X9" s="28"/>
      <c r="Y9" s="29" t="s">
        <v>30</v>
      </c>
      <c r="Z9" s="27" t="s">
        <v>31</v>
      </c>
      <c r="AA9" s="27" t="s">
        <v>32</v>
      </c>
      <c r="AB9" s="30"/>
      <c r="AC9" s="27" t="s">
        <v>29</v>
      </c>
      <c r="AD9" s="28"/>
      <c r="AE9" s="27" t="s">
        <v>23</v>
      </c>
      <c r="AF9" s="28"/>
      <c r="AG9" s="29" t="s">
        <v>30</v>
      </c>
      <c r="AH9" s="27" t="s">
        <v>31</v>
      </c>
      <c r="AI9" s="27" t="s">
        <v>32</v>
      </c>
      <c r="AK9" s="26"/>
      <c r="AL9" s="26"/>
      <c r="AM9" s="27" t="s">
        <v>29</v>
      </c>
      <c r="AN9" s="28"/>
      <c r="AO9" s="27" t="s">
        <v>23</v>
      </c>
      <c r="AP9" s="28"/>
      <c r="AQ9" s="29" t="s">
        <v>30</v>
      </c>
      <c r="AR9" s="27" t="s">
        <v>31</v>
      </c>
      <c r="AS9" s="27" t="s">
        <v>32</v>
      </c>
      <c r="AT9" s="30"/>
      <c r="AU9" s="27" t="s">
        <v>29</v>
      </c>
      <c r="AV9" s="28"/>
      <c r="AW9" s="27" t="s">
        <v>23</v>
      </c>
      <c r="AX9" s="28"/>
      <c r="AY9" s="29" t="s">
        <v>30</v>
      </c>
      <c r="AZ9" s="27" t="s">
        <v>31</v>
      </c>
      <c r="BA9" s="27" t="s">
        <v>32</v>
      </c>
    </row>
    <row r="10" spans="1:53" x14ac:dyDescent="0.25">
      <c r="A10" s="31"/>
      <c r="B10" s="31"/>
      <c r="C10" s="31"/>
      <c r="D10" s="31"/>
      <c r="E10" s="31"/>
      <c r="F10" s="31"/>
      <c r="G10" s="31"/>
      <c r="H10" s="31"/>
      <c r="S10" s="31"/>
      <c r="T10" s="31"/>
      <c r="U10" s="31"/>
      <c r="V10" s="31"/>
      <c r="W10" s="31"/>
      <c r="X10" s="31"/>
      <c r="Y10" s="31"/>
      <c r="Z10" s="31"/>
      <c r="AK10" s="31"/>
      <c r="AL10" s="31"/>
      <c r="AM10" s="31"/>
      <c r="AN10" s="31"/>
      <c r="AO10" s="31"/>
      <c r="AP10" s="31"/>
      <c r="AQ10" s="31"/>
      <c r="AR10" s="31"/>
    </row>
    <row r="11" spans="1:53" x14ac:dyDescent="0.25">
      <c r="A11" s="32" t="s">
        <v>33</v>
      </c>
      <c r="B11" s="31"/>
      <c r="C11" s="31"/>
      <c r="D11" s="31"/>
      <c r="E11" s="31"/>
      <c r="F11" s="31"/>
      <c r="G11" s="31"/>
      <c r="H11" s="31"/>
      <c r="S11" s="32" t="s">
        <v>33</v>
      </c>
      <c r="T11" s="31"/>
      <c r="U11" s="31"/>
      <c r="V11" s="31"/>
      <c r="W11" s="31"/>
      <c r="X11" s="31"/>
      <c r="Y11" s="31"/>
      <c r="Z11" s="31"/>
      <c r="AK11" s="32" t="s">
        <v>33</v>
      </c>
      <c r="AL11" s="31"/>
      <c r="AM11" s="31"/>
      <c r="AN11" s="31"/>
      <c r="AO11" s="31"/>
      <c r="AP11" s="31"/>
      <c r="AQ11" s="31"/>
      <c r="AR11" s="31"/>
    </row>
    <row r="12" spans="1:53" x14ac:dyDescent="0.25">
      <c r="A12" s="33"/>
      <c r="B12" s="31"/>
      <c r="C12" s="34"/>
      <c r="D12" s="35"/>
      <c r="E12" s="35"/>
      <c r="F12" s="35"/>
      <c r="G12" s="35"/>
      <c r="H12" s="35"/>
      <c r="S12" s="33"/>
      <c r="T12" s="31"/>
      <c r="U12" s="34"/>
      <c r="V12" s="35"/>
      <c r="W12" s="35"/>
      <c r="X12" s="35"/>
      <c r="Y12" s="35"/>
      <c r="Z12" s="35"/>
      <c r="AK12" s="33"/>
      <c r="AL12" s="31"/>
      <c r="AM12" s="34"/>
      <c r="AN12" s="35"/>
      <c r="AO12" s="35"/>
      <c r="AP12" s="35"/>
      <c r="AQ12" s="35"/>
      <c r="AR12" s="35"/>
    </row>
    <row r="13" spans="1:53" x14ac:dyDescent="0.25">
      <c r="A13" s="87" t="s">
        <v>24</v>
      </c>
      <c r="B13" s="36"/>
      <c r="C13" s="34"/>
      <c r="D13" s="35"/>
      <c r="E13" s="35"/>
      <c r="F13" s="35"/>
      <c r="G13" s="35"/>
      <c r="H13" s="34"/>
      <c r="J13" s="37"/>
      <c r="S13" s="87" t="s">
        <v>24</v>
      </c>
      <c r="T13" s="36"/>
      <c r="U13" s="34"/>
      <c r="V13" s="35"/>
      <c r="W13" s="35"/>
      <c r="X13" s="35"/>
      <c r="Y13" s="35"/>
      <c r="Z13" s="34"/>
      <c r="AB13" s="37"/>
      <c r="AK13" s="87" t="s">
        <v>24</v>
      </c>
      <c r="AL13" s="36"/>
      <c r="AM13" s="34"/>
      <c r="AN13" s="35"/>
      <c r="AO13" s="35"/>
      <c r="AP13" s="35"/>
      <c r="AQ13" s="35"/>
      <c r="AR13" s="34"/>
      <c r="AT13" s="37"/>
    </row>
    <row r="14" spans="1:53" x14ac:dyDescent="0.25">
      <c r="A14" s="38" t="s">
        <v>34</v>
      </c>
      <c r="B14" s="31"/>
      <c r="C14" s="39">
        <v>1320</v>
      </c>
      <c r="D14" s="39"/>
      <c r="E14" s="39">
        <v>700</v>
      </c>
      <c r="F14" s="39"/>
      <c r="G14" s="39">
        <v>620</v>
      </c>
      <c r="H14" s="39">
        <v>180</v>
      </c>
      <c r="I14" s="39">
        <v>440</v>
      </c>
      <c r="J14" s="40"/>
      <c r="K14" s="96">
        <v>40</v>
      </c>
      <c r="L14" s="96"/>
      <c r="M14" s="96">
        <v>58</v>
      </c>
      <c r="N14" s="96"/>
      <c r="O14" s="96">
        <v>21</v>
      </c>
      <c r="P14" s="96">
        <v>6</v>
      </c>
      <c r="Q14" s="96">
        <v>26</v>
      </c>
      <c r="S14" s="38" t="s">
        <v>34</v>
      </c>
      <c r="T14" s="31"/>
      <c r="U14" s="39">
        <v>1500</v>
      </c>
      <c r="V14" s="39"/>
      <c r="W14" s="39">
        <v>510</v>
      </c>
      <c r="X14" s="39"/>
      <c r="Y14" s="39">
        <v>980</v>
      </c>
      <c r="Z14" s="39">
        <v>440</v>
      </c>
      <c r="AA14" s="39">
        <v>540</v>
      </c>
      <c r="AB14" s="40"/>
      <c r="AC14" s="96">
        <v>42</v>
      </c>
      <c r="AD14" s="96"/>
      <c r="AE14" s="96">
        <v>70</v>
      </c>
      <c r="AF14" s="96"/>
      <c r="AG14" s="96">
        <v>27</v>
      </c>
      <c r="AH14" s="96">
        <v>15</v>
      </c>
      <c r="AI14" s="96">
        <v>37</v>
      </c>
      <c r="AK14" s="38" t="s">
        <v>34</v>
      </c>
      <c r="AL14" s="31"/>
      <c r="AM14" s="39">
        <v>2820</v>
      </c>
      <c r="AN14" s="39"/>
      <c r="AO14" s="39">
        <v>1210</v>
      </c>
      <c r="AP14" s="39"/>
      <c r="AQ14" s="39">
        <v>1600</v>
      </c>
      <c r="AR14" s="39">
        <v>620</v>
      </c>
      <c r="AS14" s="39">
        <v>980</v>
      </c>
      <c r="AT14" s="40"/>
      <c r="AU14" s="96">
        <v>41</v>
      </c>
      <c r="AV14" s="96"/>
      <c r="AW14" s="96">
        <v>63</v>
      </c>
      <c r="AX14" s="96"/>
      <c r="AY14" s="96">
        <v>24</v>
      </c>
      <c r="AZ14" s="96">
        <v>12</v>
      </c>
      <c r="BA14" s="96">
        <v>32</v>
      </c>
    </row>
    <row r="15" spans="1:53" x14ac:dyDescent="0.25">
      <c r="A15" s="38" t="s">
        <v>35</v>
      </c>
      <c r="B15" s="31"/>
      <c r="C15" s="39">
        <v>1320</v>
      </c>
      <c r="D15" s="39"/>
      <c r="E15" s="39">
        <v>700</v>
      </c>
      <c r="F15" s="39"/>
      <c r="G15" s="39">
        <v>620</v>
      </c>
      <c r="H15" s="39">
        <v>180</v>
      </c>
      <c r="I15" s="39">
        <v>440</v>
      </c>
      <c r="J15" s="40"/>
      <c r="K15" s="96">
        <v>44</v>
      </c>
      <c r="L15" s="96"/>
      <c r="M15" s="96">
        <v>62</v>
      </c>
      <c r="N15" s="96"/>
      <c r="O15" s="96">
        <v>23</v>
      </c>
      <c r="P15" s="96">
        <v>8</v>
      </c>
      <c r="Q15" s="96">
        <v>29</v>
      </c>
      <c r="S15" s="38" t="s">
        <v>35</v>
      </c>
      <c r="T15" s="31"/>
      <c r="U15" s="39">
        <v>1500</v>
      </c>
      <c r="V15" s="39"/>
      <c r="W15" s="39">
        <v>510</v>
      </c>
      <c r="X15" s="39"/>
      <c r="Y15" s="39">
        <v>980</v>
      </c>
      <c r="Z15" s="39">
        <v>440</v>
      </c>
      <c r="AA15" s="39">
        <v>540</v>
      </c>
      <c r="AB15" s="40"/>
      <c r="AC15" s="96">
        <v>39</v>
      </c>
      <c r="AD15" s="96"/>
      <c r="AE15" s="96">
        <v>63</v>
      </c>
      <c r="AF15" s="96"/>
      <c r="AG15" s="96">
        <v>26</v>
      </c>
      <c r="AH15" s="96">
        <v>18</v>
      </c>
      <c r="AI15" s="96">
        <v>33</v>
      </c>
      <c r="AK15" s="38" t="s">
        <v>35</v>
      </c>
      <c r="AL15" s="31"/>
      <c r="AM15" s="39">
        <v>2820</v>
      </c>
      <c r="AN15" s="39"/>
      <c r="AO15" s="39">
        <v>1210</v>
      </c>
      <c r="AP15" s="39"/>
      <c r="AQ15" s="39">
        <v>1600</v>
      </c>
      <c r="AR15" s="39">
        <v>620</v>
      </c>
      <c r="AS15" s="39">
        <v>980</v>
      </c>
      <c r="AT15" s="40"/>
      <c r="AU15" s="96">
        <v>41</v>
      </c>
      <c r="AV15" s="96"/>
      <c r="AW15" s="96">
        <v>62</v>
      </c>
      <c r="AX15" s="96"/>
      <c r="AY15" s="96">
        <v>25</v>
      </c>
      <c r="AZ15" s="96">
        <v>15</v>
      </c>
      <c r="BA15" s="96">
        <v>32</v>
      </c>
    </row>
    <row r="16" spans="1:53" x14ac:dyDescent="0.25">
      <c r="A16" s="38" t="s">
        <v>36</v>
      </c>
      <c r="B16" s="31"/>
      <c r="C16" s="39">
        <v>1320</v>
      </c>
      <c r="D16" s="39"/>
      <c r="E16" s="39">
        <v>700</v>
      </c>
      <c r="F16" s="39"/>
      <c r="G16" s="39">
        <v>620</v>
      </c>
      <c r="H16" s="39">
        <v>170</v>
      </c>
      <c r="I16" s="39">
        <v>440</v>
      </c>
      <c r="J16" s="40"/>
      <c r="K16" s="96">
        <v>53</v>
      </c>
      <c r="L16" s="96"/>
      <c r="M16" s="96">
        <v>77</v>
      </c>
      <c r="N16" s="96"/>
      <c r="O16" s="96">
        <v>27</v>
      </c>
      <c r="P16" s="96">
        <v>8</v>
      </c>
      <c r="Q16" s="96">
        <v>35</v>
      </c>
      <c r="S16" s="38" t="s">
        <v>36</v>
      </c>
      <c r="T16" s="31"/>
      <c r="U16" s="39">
        <v>1490</v>
      </c>
      <c r="V16" s="39"/>
      <c r="W16" s="39">
        <v>510</v>
      </c>
      <c r="X16" s="39"/>
      <c r="Y16" s="39">
        <v>970</v>
      </c>
      <c r="Z16" s="39">
        <v>430</v>
      </c>
      <c r="AA16" s="39">
        <v>540</v>
      </c>
      <c r="AB16" s="40"/>
      <c r="AC16" s="96">
        <v>39</v>
      </c>
      <c r="AD16" s="96"/>
      <c r="AE16" s="96">
        <v>70</v>
      </c>
      <c r="AF16" s="96"/>
      <c r="AG16" s="96">
        <v>22</v>
      </c>
      <c r="AH16" s="96">
        <v>13</v>
      </c>
      <c r="AI16" s="96">
        <v>30</v>
      </c>
      <c r="AK16" s="38" t="s">
        <v>36</v>
      </c>
      <c r="AL16" s="31"/>
      <c r="AM16" s="39">
        <v>2800</v>
      </c>
      <c r="AN16" s="39"/>
      <c r="AO16" s="39">
        <v>1210</v>
      </c>
      <c r="AP16" s="39"/>
      <c r="AQ16" s="39">
        <v>1590</v>
      </c>
      <c r="AR16" s="39">
        <v>600</v>
      </c>
      <c r="AS16" s="39">
        <v>980</v>
      </c>
      <c r="AT16" s="40"/>
      <c r="AU16" s="96">
        <v>46</v>
      </c>
      <c r="AV16" s="96"/>
      <c r="AW16" s="96">
        <v>74</v>
      </c>
      <c r="AX16" s="96"/>
      <c r="AY16" s="96">
        <v>24</v>
      </c>
      <c r="AZ16" s="96">
        <v>11</v>
      </c>
      <c r="BA16" s="96">
        <v>32</v>
      </c>
    </row>
    <row r="17" spans="1:53" x14ac:dyDescent="0.25">
      <c r="A17" s="38" t="s">
        <v>37</v>
      </c>
      <c r="B17" s="31"/>
      <c r="C17" s="39">
        <v>1320</v>
      </c>
      <c r="D17" s="39"/>
      <c r="E17" s="39">
        <v>700</v>
      </c>
      <c r="F17" s="39"/>
      <c r="G17" s="39">
        <v>620</v>
      </c>
      <c r="H17" s="39">
        <v>180</v>
      </c>
      <c r="I17" s="39">
        <v>440</v>
      </c>
      <c r="J17" s="40"/>
      <c r="K17" s="96">
        <v>49</v>
      </c>
      <c r="L17" s="96"/>
      <c r="M17" s="96">
        <v>72</v>
      </c>
      <c r="N17" s="96"/>
      <c r="O17" s="96">
        <v>24</v>
      </c>
      <c r="P17" s="96">
        <v>7</v>
      </c>
      <c r="Q17" s="96">
        <v>30</v>
      </c>
      <c r="S17" s="38" t="s">
        <v>37</v>
      </c>
      <c r="T17" s="31"/>
      <c r="U17" s="39">
        <v>1500</v>
      </c>
      <c r="V17" s="39"/>
      <c r="W17" s="39">
        <v>510</v>
      </c>
      <c r="X17" s="39"/>
      <c r="Y17" s="39">
        <v>980</v>
      </c>
      <c r="Z17" s="39">
        <v>440</v>
      </c>
      <c r="AA17" s="39">
        <v>540</v>
      </c>
      <c r="AB17" s="40"/>
      <c r="AC17" s="96">
        <v>39</v>
      </c>
      <c r="AD17" s="96"/>
      <c r="AE17" s="96">
        <v>71</v>
      </c>
      <c r="AF17" s="96"/>
      <c r="AG17" s="96">
        <v>22</v>
      </c>
      <c r="AH17" s="96">
        <v>12</v>
      </c>
      <c r="AI17" s="96">
        <v>30</v>
      </c>
      <c r="AK17" s="38" t="s">
        <v>37</v>
      </c>
      <c r="AL17" s="31"/>
      <c r="AM17" s="39">
        <v>2820</v>
      </c>
      <c r="AN17" s="39"/>
      <c r="AO17" s="39">
        <v>1210</v>
      </c>
      <c r="AP17" s="39"/>
      <c r="AQ17" s="39">
        <v>1600</v>
      </c>
      <c r="AR17" s="39">
        <v>620</v>
      </c>
      <c r="AS17" s="39">
        <v>980</v>
      </c>
      <c r="AT17" s="40"/>
      <c r="AU17" s="96">
        <v>44</v>
      </c>
      <c r="AV17" s="96"/>
      <c r="AW17" s="96">
        <v>72</v>
      </c>
      <c r="AX17" s="96"/>
      <c r="AY17" s="96">
        <v>23</v>
      </c>
      <c r="AZ17" s="96">
        <v>11</v>
      </c>
      <c r="BA17" s="96">
        <v>30</v>
      </c>
    </row>
    <row r="18" spans="1:53" x14ac:dyDescent="0.25">
      <c r="A18" s="38" t="s">
        <v>38</v>
      </c>
      <c r="B18" s="31"/>
      <c r="C18" s="39">
        <v>1320</v>
      </c>
      <c r="D18" s="39"/>
      <c r="E18" s="39">
        <v>700</v>
      </c>
      <c r="F18" s="39"/>
      <c r="G18" s="39">
        <v>620</v>
      </c>
      <c r="H18" s="39">
        <v>170</v>
      </c>
      <c r="I18" s="39">
        <v>440</v>
      </c>
      <c r="J18" s="40"/>
      <c r="K18" s="96">
        <v>28</v>
      </c>
      <c r="L18" s="96"/>
      <c r="M18" s="96">
        <v>44</v>
      </c>
      <c r="N18" s="96"/>
      <c r="O18" s="96">
        <v>10</v>
      </c>
      <c r="P18" s="96">
        <v>3</v>
      </c>
      <c r="Q18" s="96">
        <v>12</v>
      </c>
      <c r="S18" s="38" t="s">
        <v>38</v>
      </c>
      <c r="T18" s="31"/>
      <c r="U18" s="39">
        <v>1490</v>
      </c>
      <c r="V18" s="39"/>
      <c r="W18" s="39">
        <v>510</v>
      </c>
      <c r="X18" s="39"/>
      <c r="Y18" s="39">
        <v>970</v>
      </c>
      <c r="Z18" s="39">
        <v>430</v>
      </c>
      <c r="AA18" s="39">
        <v>540</v>
      </c>
      <c r="AB18" s="40"/>
      <c r="AC18" s="96">
        <v>23</v>
      </c>
      <c r="AD18" s="96"/>
      <c r="AE18" s="96">
        <v>45</v>
      </c>
      <c r="AF18" s="96"/>
      <c r="AG18" s="96">
        <v>11</v>
      </c>
      <c r="AH18" s="96">
        <v>7</v>
      </c>
      <c r="AI18" s="96">
        <v>15</v>
      </c>
      <c r="AK18" s="38" t="s">
        <v>38</v>
      </c>
      <c r="AL18" s="31"/>
      <c r="AM18" s="39">
        <v>2800</v>
      </c>
      <c r="AN18" s="39"/>
      <c r="AO18" s="39">
        <v>1210</v>
      </c>
      <c r="AP18" s="39"/>
      <c r="AQ18" s="39">
        <v>1590</v>
      </c>
      <c r="AR18" s="39">
        <v>600</v>
      </c>
      <c r="AS18" s="39">
        <v>980</v>
      </c>
      <c r="AT18" s="40"/>
      <c r="AU18" s="96">
        <v>25</v>
      </c>
      <c r="AV18" s="96"/>
      <c r="AW18" s="96">
        <v>44</v>
      </c>
      <c r="AX18" s="96"/>
      <c r="AY18" s="96">
        <v>11</v>
      </c>
      <c r="AZ18" s="96">
        <v>6</v>
      </c>
      <c r="BA18" s="96">
        <v>14</v>
      </c>
    </row>
    <row r="19" spans="1:53" x14ac:dyDescent="0.25">
      <c r="A19" s="41"/>
      <c r="B19" s="41"/>
      <c r="C19" s="42"/>
      <c r="D19" s="42"/>
      <c r="E19" s="42"/>
      <c r="F19" s="42"/>
      <c r="G19" s="42"/>
      <c r="H19" s="42"/>
      <c r="I19" s="43"/>
      <c r="J19" s="43"/>
      <c r="K19" s="97"/>
      <c r="L19" s="97"/>
      <c r="M19" s="97"/>
      <c r="N19" s="97"/>
      <c r="O19" s="97"/>
      <c r="P19" s="97"/>
      <c r="Q19" s="97"/>
      <c r="S19" s="41"/>
      <c r="T19" s="41"/>
      <c r="U19" s="42"/>
      <c r="V19" s="42"/>
      <c r="W19" s="42"/>
      <c r="X19" s="42"/>
      <c r="Y19" s="42"/>
      <c r="Z19" s="42"/>
      <c r="AA19" s="43"/>
      <c r="AB19" s="43"/>
      <c r="AC19" s="97"/>
      <c r="AD19" s="97"/>
      <c r="AE19" s="97"/>
      <c r="AF19" s="97"/>
      <c r="AG19" s="97"/>
      <c r="AH19" s="97"/>
      <c r="AI19" s="97"/>
      <c r="AK19" s="41"/>
      <c r="AL19" s="41"/>
      <c r="AM19" s="42"/>
      <c r="AN19" s="42"/>
      <c r="AO19" s="42"/>
      <c r="AP19" s="42"/>
      <c r="AQ19" s="42"/>
      <c r="AR19" s="42"/>
      <c r="AS19" s="43"/>
      <c r="AT19" s="43"/>
      <c r="AU19" s="97"/>
      <c r="AV19" s="97"/>
      <c r="AW19" s="97"/>
      <c r="AX19" s="97"/>
      <c r="AY19" s="97"/>
      <c r="AZ19" s="97"/>
      <c r="BA19" s="97"/>
    </row>
    <row r="20" spans="1:53" x14ac:dyDescent="0.25">
      <c r="A20" s="32" t="s">
        <v>25</v>
      </c>
      <c r="B20" s="31"/>
      <c r="C20" s="42"/>
      <c r="D20" s="42"/>
      <c r="E20" s="42"/>
      <c r="F20" s="42"/>
      <c r="G20" s="42"/>
      <c r="H20" s="42"/>
      <c r="I20" s="43"/>
      <c r="J20" s="43"/>
      <c r="K20" s="97"/>
      <c r="L20" s="97"/>
      <c r="M20" s="97"/>
      <c r="N20" s="97"/>
      <c r="O20" s="97"/>
      <c r="P20" s="97"/>
      <c r="Q20" s="97"/>
      <c r="S20" s="32" t="s">
        <v>25</v>
      </c>
      <c r="T20" s="31"/>
      <c r="U20" s="42"/>
      <c r="V20" s="42"/>
      <c r="W20" s="42"/>
      <c r="X20" s="42"/>
      <c r="Y20" s="42"/>
      <c r="Z20" s="42"/>
      <c r="AA20" s="43"/>
      <c r="AB20" s="43"/>
      <c r="AC20" s="97"/>
      <c r="AD20" s="97"/>
      <c r="AE20" s="97"/>
      <c r="AF20" s="97"/>
      <c r="AG20" s="97"/>
      <c r="AH20" s="97"/>
      <c r="AI20" s="97"/>
      <c r="AK20" s="32" t="s">
        <v>25</v>
      </c>
      <c r="AL20" s="31"/>
      <c r="AM20" s="42"/>
      <c r="AN20" s="42"/>
      <c r="AO20" s="42"/>
      <c r="AP20" s="42"/>
      <c r="AQ20" s="42"/>
      <c r="AR20" s="42"/>
      <c r="AS20" s="43"/>
      <c r="AT20" s="43"/>
      <c r="AU20" s="97"/>
      <c r="AV20" s="97"/>
      <c r="AW20" s="97"/>
      <c r="AX20" s="97"/>
      <c r="AY20" s="97"/>
      <c r="AZ20" s="97"/>
      <c r="BA20" s="97"/>
    </row>
    <row r="21" spans="1:53" x14ac:dyDescent="0.25">
      <c r="A21" s="44"/>
      <c r="B21" s="31"/>
      <c r="C21" s="42"/>
      <c r="D21" s="42"/>
      <c r="E21" s="42"/>
      <c r="F21" s="42"/>
      <c r="G21" s="42"/>
      <c r="H21" s="42"/>
      <c r="I21" s="43"/>
      <c r="J21" s="43"/>
      <c r="K21" s="97"/>
      <c r="L21" s="97"/>
      <c r="M21" s="97"/>
      <c r="N21" s="97"/>
      <c r="O21" s="97"/>
      <c r="P21" s="97"/>
      <c r="Q21" s="97"/>
      <c r="S21" s="44"/>
      <c r="T21" s="31"/>
      <c r="U21" s="42"/>
      <c r="V21" s="42"/>
      <c r="W21" s="42"/>
      <c r="X21" s="42"/>
      <c r="Y21" s="42"/>
      <c r="Z21" s="42"/>
      <c r="AA21" s="43"/>
      <c r="AB21" s="43"/>
      <c r="AC21" s="97"/>
      <c r="AD21" s="97"/>
      <c r="AE21" s="97"/>
      <c r="AF21" s="97"/>
      <c r="AG21" s="97"/>
      <c r="AH21" s="97"/>
      <c r="AI21" s="97"/>
      <c r="AK21" s="44"/>
      <c r="AL21" s="31"/>
      <c r="AM21" s="42"/>
      <c r="AN21" s="42"/>
      <c r="AO21" s="42"/>
      <c r="AP21" s="42"/>
      <c r="AQ21" s="42"/>
      <c r="AR21" s="42"/>
      <c r="AS21" s="43"/>
      <c r="AT21" s="43"/>
      <c r="AU21" s="97"/>
      <c r="AV21" s="97"/>
      <c r="AW21" s="97"/>
      <c r="AX21" s="97"/>
      <c r="AY21" s="97"/>
      <c r="AZ21" s="97"/>
      <c r="BA21" s="97"/>
    </row>
    <row r="22" spans="1:53" x14ac:dyDescent="0.25">
      <c r="A22" s="87" t="s">
        <v>24</v>
      </c>
      <c r="B22" s="36"/>
      <c r="C22" s="45"/>
      <c r="D22" s="45"/>
      <c r="E22" s="45"/>
      <c r="F22" s="45"/>
      <c r="G22" s="45"/>
      <c r="H22" s="45"/>
      <c r="I22" s="43"/>
      <c r="J22" s="43"/>
      <c r="K22" s="97"/>
      <c r="L22" s="97"/>
      <c r="M22" s="97"/>
      <c r="N22" s="97"/>
      <c r="O22" s="97"/>
      <c r="P22" s="97"/>
      <c r="Q22" s="97"/>
      <c r="S22" s="87" t="s">
        <v>24</v>
      </c>
      <c r="T22" s="36"/>
      <c r="U22" s="45"/>
      <c r="V22" s="45"/>
      <c r="W22" s="45"/>
      <c r="X22" s="45"/>
      <c r="Y22" s="45"/>
      <c r="Z22" s="45"/>
      <c r="AA22" s="43"/>
      <c r="AB22" s="43"/>
      <c r="AC22" s="97"/>
      <c r="AD22" s="97"/>
      <c r="AE22" s="97"/>
      <c r="AF22" s="97"/>
      <c r="AG22" s="97"/>
      <c r="AH22" s="97"/>
      <c r="AI22" s="97"/>
      <c r="AK22" s="87" t="s">
        <v>24</v>
      </c>
      <c r="AL22" s="36"/>
      <c r="AM22" s="45"/>
      <c r="AN22" s="45"/>
      <c r="AO22" s="45"/>
      <c r="AP22" s="45"/>
      <c r="AQ22" s="45"/>
      <c r="AR22" s="45"/>
      <c r="AS22" s="43"/>
      <c r="AT22" s="43"/>
      <c r="AU22" s="97"/>
      <c r="AV22" s="97"/>
      <c r="AW22" s="97"/>
      <c r="AX22" s="97"/>
      <c r="AY22" s="97"/>
      <c r="AZ22" s="97"/>
      <c r="BA22" s="97"/>
    </row>
    <row r="23" spans="1:53" x14ac:dyDescent="0.25">
      <c r="A23" s="38" t="s">
        <v>34</v>
      </c>
      <c r="B23" s="31"/>
      <c r="C23" s="39">
        <v>288480</v>
      </c>
      <c r="D23" s="39"/>
      <c r="E23" s="39">
        <v>250090</v>
      </c>
      <c r="F23" s="39"/>
      <c r="G23" s="39">
        <v>34810</v>
      </c>
      <c r="H23" s="39">
        <v>4560</v>
      </c>
      <c r="I23" s="39">
        <v>30260</v>
      </c>
      <c r="J23" s="40"/>
      <c r="K23" s="96">
        <v>70</v>
      </c>
      <c r="L23" s="96"/>
      <c r="M23" s="96">
        <v>76</v>
      </c>
      <c r="N23" s="96"/>
      <c r="O23" s="96">
        <v>27</v>
      </c>
      <c r="P23" s="96">
        <v>10</v>
      </c>
      <c r="Q23" s="96">
        <v>29</v>
      </c>
      <c r="S23" s="38" t="s">
        <v>34</v>
      </c>
      <c r="T23" s="31"/>
      <c r="U23" s="39">
        <v>300870</v>
      </c>
      <c r="V23" s="39"/>
      <c r="W23" s="39">
        <v>230420</v>
      </c>
      <c r="X23" s="39"/>
      <c r="Y23" s="39">
        <v>67110</v>
      </c>
      <c r="Z23" s="39">
        <v>12740</v>
      </c>
      <c r="AA23" s="39">
        <v>54370</v>
      </c>
      <c r="AB23" s="40"/>
      <c r="AC23" s="96">
        <v>70</v>
      </c>
      <c r="AD23" s="96"/>
      <c r="AE23" s="96">
        <v>80</v>
      </c>
      <c r="AF23" s="96"/>
      <c r="AG23" s="96">
        <v>35</v>
      </c>
      <c r="AH23" s="96">
        <v>16</v>
      </c>
      <c r="AI23" s="96">
        <v>40</v>
      </c>
      <c r="AK23" s="38" t="s">
        <v>34</v>
      </c>
      <c r="AL23" s="31"/>
      <c r="AM23" s="39">
        <v>589350</v>
      </c>
      <c r="AN23" s="39"/>
      <c r="AO23" s="39">
        <v>480520</v>
      </c>
      <c r="AP23" s="39"/>
      <c r="AQ23" s="39">
        <v>101930</v>
      </c>
      <c r="AR23" s="39">
        <v>17290</v>
      </c>
      <c r="AS23" s="39">
        <v>84630</v>
      </c>
      <c r="AT23" s="40"/>
      <c r="AU23" s="96">
        <v>70</v>
      </c>
      <c r="AV23" s="96"/>
      <c r="AW23" s="96">
        <v>78</v>
      </c>
      <c r="AX23" s="96"/>
      <c r="AY23" s="96">
        <v>32</v>
      </c>
      <c r="AZ23" s="96">
        <v>14</v>
      </c>
      <c r="BA23" s="96">
        <v>36</v>
      </c>
    </row>
    <row r="24" spans="1:53" x14ac:dyDescent="0.25">
      <c r="A24" s="38" t="s">
        <v>35</v>
      </c>
      <c r="B24" s="31"/>
      <c r="C24" s="39">
        <v>288500</v>
      </c>
      <c r="D24" s="39"/>
      <c r="E24" s="39">
        <v>250100</v>
      </c>
      <c r="F24" s="39"/>
      <c r="G24" s="39">
        <v>34820</v>
      </c>
      <c r="H24" s="39">
        <v>4560</v>
      </c>
      <c r="I24" s="39">
        <v>30260</v>
      </c>
      <c r="J24" s="40"/>
      <c r="K24" s="96">
        <v>70</v>
      </c>
      <c r="L24" s="96"/>
      <c r="M24" s="96">
        <v>76</v>
      </c>
      <c r="N24" s="96"/>
      <c r="O24" s="96">
        <v>28</v>
      </c>
      <c r="P24" s="96">
        <v>11</v>
      </c>
      <c r="Q24" s="96">
        <v>30</v>
      </c>
      <c r="S24" s="38" t="s">
        <v>35</v>
      </c>
      <c r="T24" s="31"/>
      <c r="U24" s="39">
        <v>300870</v>
      </c>
      <c r="V24" s="39"/>
      <c r="W24" s="39">
        <v>230430</v>
      </c>
      <c r="X24" s="39"/>
      <c r="Y24" s="39">
        <v>67110</v>
      </c>
      <c r="Z24" s="39">
        <v>12730</v>
      </c>
      <c r="AA24" s="39">
        <v>54380</v>
      </c>
      <c r="AB24" s="40"/>
      <c r="AC24" s="96">
        <v>62</v>
      </c>
      <c r="AD24" s="96"/>
      <c r="AE24" s="96">
        <v>72</v>
      </c>
      <c r="AF24" s="96"/>
      <c r="AG24" s="96">
        <v>30</v>
      </c>
      <c r="AH24" s="96">
        <v>15</v>
      </c>
      <c r="AI24" s="96">
        <v>33</v>
      </c>
      <c r="AK24" s="38" t="s">
        <v>35</v>
      </c>
      <c r="AL24" s="31"/>
      <c r="AM24" s="39">
        <v>589370</v>
      </c>
      <c r="AN24" s="39"/>
      <c r="AO24" s="39">
        <v>480530</v>
      </c>
      <c r="AP24" s="39"/>
      <c r="AQ24" s="39">
        <v>101930</v>
      </c>
      <c r="AR24" s="39">
        <v>17290</v>
      </c>
      <c r="AS24" s="39">
        <v>84640</v>
      </c>
      <c r="AT24" s="40"/>
      <c r="AU24" s="96">
        <v>66</v>
      </c>
      <c r="AV24" s="96"/>
      <c r="AW24" s="96">
        <v>74</v>
      </c>
      <c r="AX24" s="96"/>
      <c r="AY24" s="96">
        <v>29</v>
      </c>
      <c r="AZ24" s="96">
        <v>14</v>
      </c>
      <c r="BA24" s="96">
        <v>32</v>
      </c>
    </row>
    <row r="25" spans="1:53" x14ac:dyDescent="0.25">
      <c r="A25" s="38" t="s">
        <v>36</v>
      </c>
      <c r="B25" s="31"/>
      <c r="C25" s="39">
        <v>287930</v>
      </c>
      <c r="D25" s="39"/>
      <c r="E25" s="39">
        <v>249950</v>
      </c>
      <c r="F25" s="39"/>
      <c r="G25" s="39">
        <v>34710</v>
      </c>
      <c r="H25" s="39">
        <v>4480</v>
      </c>
      <c r="I25" s="39">
        <v>30230</v>
      </c>
      <c r="J25" s="40"/>
      <c r="K25" s="96">
        <v>81</v>
      </c>
      <c r="L25" s="96"/>
      <c r="M25" s="96">
        <v>87</v>
      </c>
      <c r="N25" s="96"/>
      <c r="O25" s="96">
        <v>33</v>
      </c>
      <c r="P25" s="96">
        <v>12</v>
      </c>
      <c r="Q25" s="96">
        <v>36</v>
      </c>
      <c r="S25" s="38" t="s">
        <v>36</v>
      </c>
      <c r="T25" s="31"/>
      <c r="U25" s="39">
        <v>300160</v>
      </c>
      <c r="V25" s="39"/>
      <c r="W25" s="39">
        <v>230300</v>
      </c>
      <c r="X25" s="39"/>
      <c r="Y25" s="39">
        <v>66830</v>
      </c>
      <c r="Z25" s="39">
        <v>12550</v>
      </c>
      <c r="AA25" s="39">
        <v>54290</v>
      </c>
      <c r="AB25" s="40"/>
      <c r="AC25" s="96">
        <v>68</v>
      </c>
      <c r="AD25" s="96"/>
      <c r="AE25" s="96">
        <v>80</v>
      </c>
      <c r="AF25" s="96"/>
      <c r="AG25" s="96">
        <v>27</v>
      </c>
      <c r="AH25" s="96">
        <v>13</v>
      </c>
      <c r="AI25" s="96">
        <v>30</v>
      </c>
      <c r="AK25" s="38" t="s">
        <v>36</v>
      </c>
      <c r="AL25" s="31"/>
      <c r="AM25" s="39">
        <v>588090</v>
      </c>
      <c r="AN25" s="39"/>
      <c r="AO25" s="39">
        <v>480250</v>
      </c>
      <c r="AP25" s="39"/>
      <c r="AQ25" s="39">
        <v>101550</v>
      </c>
      <c r="AR25" s="39">
        <v>17030</v>
      </c>
      <c r="AS25" s="39">
        <v>84510</v>
      </c>
      <c r="AT25" s="40"/>
      <c r="AU25" s="96">
        <v>74</v>
      </c>
      <c r="AV25" s="96"/>
      <c r="AW25" s="96">
        <v>84</v>
      </c>
      <c r="AX25" s="96"/>
      <c r="AY25" s="96">
        <v>29</v>
      </c>
      <c r="AZ25" s="96">
        <v>13</v>
      </c>
      <c r="BA25" s="96">
        <v>32</v>
      </c>
    </row>
    <row r="26" spans="1:53" x14ac:dyDescent="0.25">
      <c r="A26" s="38" t="s">
        <v>37</v>
      </c>
      <c r="B26" s="31"/>
      <c r="C26" s="39">
        <v>288480</v>
      </c>
      <c r="D26" s="39"/>
      <c r="E26" s="39">
        <v>250100</v>
      </c>
      <c r="F26" s="39"/>
      <c r="G26" s="39">
        <v>34820</v>
      </c>
      <c r="H26" s="39">
        <v>4560</v>
      </c>
      <c r="I26" s="39">
        <v>30260</v>
      </c>
      <c r="J26" s="40"/>
      <c r="K26" s="96">
        <v>78</v>
      </c>
      <c r="L26" s="96"/>
      <c r="M26" s="96">
        <v>85</v>
      </c>
      <c r="N26" s="96"/>
      <c r="O26" s="96">
        <v>29</v>
      </c>
      <c r="P26" s="96">
        <v>13</v>
      </c>
      <c r="Q26" s="96">
        <v>32</v>
      </c>
      <c r="S26" s="38" t="s">
        <v>37</v>
      </c>
      <c r="T26" s="31"/>
      <c r="U26" s="39">
        <v>300840</v>
      </c>
      <c r="V26" s="39"/>
      <c r="W26" s="39">
        <v>230430</v>
      </c>
      <c r="X26" s="39"/>
      <c r="Y26" s="39">
        <v>67100</v>
      </c>
      <c r="Z26" s="39">
        <v>12730</v>
      </c>
      <c r="AA26" s="39">
        <v>54370</v>
      </c>
      <c r="AB26" s="40"/>
      <c r="AC26" s="96">
        <v>68</v>
      </c>
      <c r="AD26" s="96"/>
      <c r="AE26" s="96">
        <v>79</v>
      </c>
      <c r="AF26" s="96"/>
      <c r="AG26" s="96">
        <v>28</v>
      </c>
      <c r="AH26" s="96">
        <v>15</v>
      </c>
      <c r="AI26" s="96">
        <v>31</v>
      </c>
      <c r="AK26" s="38" t="s">
        <v>37</v>
      </c>
      <c r="AL26" s="31"/>
      <c r="AM26" s="39">
        <v>589320</v>
      </c>
      <c r="AN26" s="39"/>
      <c r="AO26" s="39">
        <v>480520</v>
      </c>
      <c r="AP26" s="39"/>
      <c r="AQ26" s="39">
        <v>101920</v>
      </c>
      <c r="AR26" s="39">
        <v>17280</v>
      </c>
      <c r="AS26" s="39">
        <v>84630</v>
      </c>
      <c r="AT26" s="40"/>
      <c r="AU26" s="96">
        <v>73</v>
      </c>
      <c r="AV26" s="96"/>
      <c r="AW26" s="96">
        <v>82</v>
      </c>
      <c r="AX26" s="96"/>
      <c r="AY26" s="96">
        <v>29</v>
      </c>
      <c r="AZ26" s="96">
        <v>15</v>
      </c>
      <c r="BA26" s="96">
        <v>31</v>
      </c>
    </row>
    <row r="27" spans="1:53" x14ac:dyDescent="0.25">
      <c r="A27" s="38" t="s">
        <v>38</v>
      </c>
      <c r="B27" s="31"/>
      <c r="C27" s="39">
        <v>287910</v>
      </c>
      <c r="D27" s="39"/>
      <c r="E27" s="39">
        <v>249950</v>
      </c>
      <c r="F27" s="39"/>
      <c r="G27" s="39">
        <v>34710</v>
      </c>
      <c r="H27" s="39">
        <v>4480</v>
      </c>
      <c r="I27" s="39">
        <v>30230</v>
      </c>
      <c r="J27" s="40"/>
      <c r="K27" s="96">
        <v>57</v>
      </c>
      <c r="L27" s="96"/>
      <c r="M27" s="96">
        <v>64</v>
      </c>
      <c r="N27" s="96"/>
      <c r="O27" s="96">
        <v>14</v>
      </c>
      <c r="P27" s="96">
        <v>6</v>
      </c>
      <c r="Q27" s="96">
        <v>15</v>
      </c>
      <c r="S27" s="38" t="s">
        <v>38</v>
      </c>
      <c r="T27" s="31"/>
      <c r="U27" s="39">
        <v>300150</v>
      </c>
      <c r="V27" s="39"/>
      <c r="W27" s="39">
        <v>230300</v>
      </c>
      <c r="X27" s="39"/>
      <c r="Y27" s="39">
        <v>66830</v>
      </c>
      <c r="Z27" s="39">
        <v>12550</v>
      </c>
      <c r="AA27" s="39">
        <v>54280</v>
      </c>
      <c r="AB27" s="40"/>
      <c r="AC27" s="96">
        <v>50</v>
      </c>
      <c r="AD27" s="96"/>
      <c r="AE27" s="96">
        <v>60</v>
      </c>
      <c r="AF27" s="96"/>
      <c r="AG27" s="96">
        <v>15</v>
      </c>
      <c r="AH27" s="96">
        <v>7</v>
      </c>
      <c r="AI27" s="96">
        <v>16</v>
      </c>
      <c r="AK27" s="38" t="s">
        <v>38</v>
      </c>
      <c r="AL27" s="31"/>
      <c r="AM27" s="39">
        <v>588060</v>
      </c>
      <c r="AN27" s="39"/>
      <c r="AO27" s="39">
        <v>480250</v>
      </c>
      <c r="AP27" s="39"/>
      <c r="AQ27" s="39">
        <v>101540</v>
      </c>
      <c r="AR27" s="39">
        <v>17030</v>
      </c>
      <c r="AS27" s="39">
        <v>84510</v>
      </c>
      <c r="AT27" s="40"/>
      <c r="AU27" s="96">
        <v>54</v>
      </c>
      <c r="AV27" s="96"/>
      <c r="AW27" s="96">
        <v>62</v>
      </c>
      <c r="AX27" s="96"/>
      <c r="AY27" s="96">
        <v>14</v>
      </c>
      <c r="AZ27" s="96">
        <v>7</v>
      </c>
      <c r="BA27" s="96">
        <v>16</v>
      </c>
    </row>
    <row r="28" spans="1:53" x14ac:dyDescent="0.25">
      <c r="A28" s="38"/>
      <c r="B28" s="31"/>
      <c r="C28" s="45"/>
      <c r="D28" s="35"/>
      <c r="E28" s="34"/>
      <c r="F28" s="34"/>
      <c r="G28" s="34"/>
      <c r="H28" s="34"/>
      <c r="K28" s="98"/>
      <c r="L28" s="98"/>
      <c r="M28" s="98"/>
      <c r="N28" s="98"/>
      <c r="O28" s="98"/>
      <c r="P28" s="98"/>
      <c r="Q28" s="98"/>
      <c r="S28" s="38"/>
      <c r="T28" s="31"/>
      <c r="U28" s="45"/>
      <c r="V28" s="35"/>
      <c r="W28" s="34"/>
      <c r="X28" s="34"/>
      <c r="Y28" s="34"/>
      <c r="Z28" s="34"/>
      <c r="AC28" s="98"/>
      <c r="AD28" s="98"/>
      <c r="AE28" s="98"/>
      <c r="AF28" s="98"/>
      <c r="AG28" s="98"/>
      <c r="AH28" s="98"/>
      <c r="AI28" s="98"/>
      <c r="AK28" s="38"/>
      <c r="AL28" s="31"/>
      <c r="AM28" s="45"/>
      <c r="AN28" s="35"/>
      <c r="AO28" s="34"/>
      <c r="AP28" s="34"/>
      <c r="AQ28" s="34"/>
      <c r="AR28" s="34"/>
      <c r="AU28" s="98"/>
      <c r="AV28" s="98"/>
      <c r="AW28" s="98"/>
      <c r="AX28" s="98"/>
      <c r="AY28" s="98"/>
      <c r="AZ28" s="98"/>
      <c r="BA28" s="98"/>
    </row>
    <row r="29" spans="1:53" x14ac:dyDescent="0.25">
      <c r="A29" s="18" t="s">
        <v>39</v>
      </c>
      <c r="B29" s="31"/>
      <c r="C29" s="39"/>
      <c r="D29" s="46"/>
      <c r="E29" s="46"/>
      <c r="F29" s="46"/>
      <c r="G29" s="46"/>
      <c r="H29" s="46"/>
      <c r="K29" s="98"/>
      <c r="L29" s="98"/>
      <c r="M29" s="98"/>
      <c r="N29" s="98"/>
      <c r="O29" s="98"/>
      <c r="P29" s="98"/>
      <c r="Q29" s="98"/>
      <c r="S29" s="18" t="s">
        <v>39</v>
      </c>
      <c r="T29" s="31"/>
      <c r="U29" s="39"/>
      <c r="V29" s="46"/>
      <c r="W29" s="46"/>
      <c r="X29" s="46"/>
      <c r="Y29" s="46"/>
      <c r="Z29" s="46"/>
      <c r="AC29" s="98"/>
      <c r="AD29" s="98"/>
      <c r="AE29" s="98"/>
      <c r="AF29" s="98"/>
      <c r="AG29" s="98"/>
      <c r="AH29" s="98"/>
      <c r="AI29" s="98"/>
      <c r="AK29" s="18" t="s">
        <v>39</v>
      </c>
      <c r="AL29" s="31"/>
      <c r="AM29" s="39"/>
      <c r="AN29" s="46"/>
      <c r="AO29" s="46"/>
      <c r="AP29" s="46"/>
      <c r="AQ29" s="46"/>
      <c r="AR29" s="46"/>
      <c r="AU29" s="98"/>
      <c r="AV29" s="98"/>
      <c r="AW29" s="98"/>
      <c r="AX29" s="98"/>
      <c r="AY29" s="98"/>
      <c r="AZ29" s="98"/>
      <c r="BA29" s="98"/>
    </row>
    <row r="30" spans="1:53" x14ac:dyDescent="0.25">
      <c r="A30" s="33"/>
      <c r="B30" s="31"/>
      <c r="C30" s="46"/>
      <c r="D30" s="46"/>
      <c r="E30" s="46"/>
      <c r="F30" s="46"/>
      <c r="G30" s="46"/>
      <c r="H30" s="46"/>
      <c r="K30" s="98"/>
      <c r="L30" s="98"/>
      <c r="M30" s="98"/>
      <c r="N30" s="98"/>
      <c r="O30" s="98"/>
      <c r="P30" s="98"/>
      <c r="Q30" s="98"/>
      <c r="S30" s="33"/>
      <c r="T30" s="31"/>
      <c r="U30" s="46"/>
      <c r="V30" s="46"/>
      <c r="W30" s="46"/>
      <c r="X30" s="46"/>
      <c r="Y30" s="46"/>
      <c r="Z30" s="46"/>
      <c r="AC30" s="98"/>
      <c r="AD30" s="98"/>
      <c r="AE30" s="98"/>
      <c r="AF30" s="98"/>
      <c r="AG30" s="98"/>
      <c r="AH30" s="98"/>
      <c r="AI30" s="98"/>
      <c r="AK30" s="33"/>
      <c r="AL30" s="31"/>
      <c r="AM30" s="46"/>
      <c r="AN30" s="46"/>
      <c r="AO30" s="46"/>
      <c r="AP30" s="46"/>
      <c r="AQ30" s="46"/>
      <c r="AR30" s="46"/>
      <c r="AU30" s="98"/>
      <c r="AV30" s="98"/>
      <c r="AW30" s="98"/>
      <c r="AX30" s="98"/>
      <c r="AY30" s="98"/>
      <c r="AZ30" s="98"/>
      <c r="BA30" s="98"/>
    </row>
    <row r="31" spans="1:53" x14ac:dyDescent="0.25">
      <c r="A31" s="87" t="s">
        <v>24</v>
      </c>
      <c r="B31" s="31"/>
      <c r="C31" s="46"/>
      <c r="D31" s="46"/>
      <c r="E31" s="46"/>
      <c r="F31" s="46"/>
      <c r="G31" s="46"/>
      <c r="H31" s="46"/>
      <c r="K31" s="98"/>
      <c r="L31" s="98"/>
      <c r="M31" s="98"/>
      <c r="N31" s="98"/>
      <c r="O31" s="98"/>
      <c r="P31" s="98"/>
      <c r="Q31" s="98"/>
      <c r="S31" s="87" t="s">
        <v>24</v>
      </c>
      <c r="T31" s="31"/>
      <c r="U31" s="46"/>
      <c r="V31" s="46"/>
      <c r="W31" s="46"/>
      <c r="X31" s="46"/>
      <c r="Y31" s="46"/>
      <c r="Z31" s="46"/>
      <c r="AC31" s="98"/>
      <c r="AD31" s="98"/>
      <c r="AE31" s="98"/>
      <c r="AF31" s="98"/>
      <c r="AG31" s="98"/>
      <c r="AH31" s="98"/>
      <c r="AI31" s="98"/>
      <c r="AK31" s="87" t="s">
        <v>24</v>
      </c>
      <c r="AL31" s="31"/>
      <c r="AM31" s="46"/>
      <c r="AN31" s="46"/>
      <c r="AO31" s="46"/>
      <c r="AP31" s="46"/>
      <c r="AQ31" s="46"/>
      <c r="AR31" s="46"/>
      <c r="AU31" s="98"/>
      <c r="AV31" s="98"/>
      <c r="AW31" s="98"/>
      <c r="AX31" s="98"/>
      <c r="AY31" s="98"/>
      <c r="AZ31" s="98"/>
      <c r="BA31" s="98"/>
    </row>
    <row r="32" spans="1:53" x14ac:dyDescent="0.25">
      <c r="A32" s="38" t="s">
        <v>34</v>
      </c>
      <c r="B32" s="41"/>
      <c r="C32" s="39" t="s">
        <v>56</v>
      </c>
      <c r="D32" s="39"/>
      <c r="E32" s="39" t="s">
        <v>56</v>
      </c>
      <c r="F32" s="39"/>
      <c r="G32" s="39" t="s">
        <v>56</v>
      </c>
      <c r="H32" s="39" t="s">
        <v>56</v>
      </c>
      <c r="I32" s="39" t="s">
        <v>56</v>
      </c>
      <c r="J32" s="43"/>
      <c r="K32" s="96" t="s">
        <v>56</v>
      </c>
      <c r="L32" s="98"/>
      <c r="M32" s="96" t="s">
        <v>56</v>
      </c>
      <c r="N32" s="98"/>
      <c r="O32" s="96" t="s">
        <v>56</v>
      </c>
      <c r="P32" s="96" t="s">
        <v>56</v>
      </c>
      <c r="Q32" s="96" t="s">
        <v>56</v>
      </c>
      <c r="S32" s="38" t="s">
        <v>34</v>
      </c>
      <c r="T32" s="41"/>
      <c r="U32" s="39" t="s">
        <v>56</v>
      </c>
      <c r="V32" s="39"/>
      <c r="W32" s="39" t="s">
        <v>56</v>
      </c>
      <c r="X32" s="39"/>
      <c r="Y32" s="39" t="s">
        <v>56</v>
      </c>
      <c r="Z32" s="39" t="s">
        <v>56</v>
      </c>
      <c r="AA32" s="39" t="s">
        <v>56</v>
      </c>
      <c r="AB32" s="43"/>
      <c r="AC32" s="96" t="s">
        <v>56</v>
      </c>
      <c r="AD32" s="98"/>
      <c r="AE32" s="96" t="s">
        <v>56</v>
      </c>
      <c r="AF32" s="98"/>
      <c r="AG32" s="96" t="s">
        <v>56</v>
      </c>
      <c r="AH32" s="96" t="s">
        <v>56</v>
      </c>
      <c r="AI32" s="96" t="s">
        <v>56</v>
      </c>
      <c r="AK32" s="38" t="s">
        <v>34</v>
      </c>
      <c r="AL32" s="41"/>
      <c r="AM32" s="39">
        <v>13810</v>
      </c>
      <c r="AN32" s="39"/>
      <c r="AO32" s="39" t="s">
        <v>56</v>
      </c>
      <c r="AP32" s="39"/>
      <c r="AQ32" s="39" t="s">
        <v>56</v>
      </c>
      <c r="AR32" s="39" t="s">
        <v>56</v>
      </c>
      <c r="AS32" s="39" t="s">
        <v>56</v>
      </c>
      <c r="AT32" s="43"/>
      <c r="AU32" s="96">
        <v>40</v>
      </c>
      <c r="AV32" s="98"/>
      <c r="AW32" s="96" t="s">
        <v>56</v>
      </c>
      <c r="AX32" s="98"/>
      <c r="AY32" s="96" t="s">
        <v>56</v>
      </c>
      <c r="AZ32" s="96" t="s">
        <v>56</v>
      </c>
      <c r="BA32" s="96" t="s">
        <v>56</v>
      </c>
    </row>
    <row r="33" spans="1:53" x14ac:dyDescent="0.25">
      <c r="A33" s="38" t="s">
        <v>35</v>
      </c>
      <c r="B33" s="47"/>
      <c r="C33" s="39" t="s">
        <v>56</v>
      </c>
      <c r="D33" s="39"/>
      <c r="E33" s="39" t="s">
        <v>56</v>
      </c>
      <c r="F33" s="39"/>
      <c r="G33" s="39" t="s">
        <v>56</v>
      </c>
      <c r="H33" s="39" t="s">
        <v>56</v>
      </c>
      <c r="I33" s="39" t="s">
        <v>56</v>
      </c>
      <c r="J33" s="43"/>
      <c r="K33" s="96" t="s">
        <v>56</v>
      </c>
      <c r="L33" s="98"/>
      <c r="M33" s="96" t="s">
        <v>56</v>
      </c>
      <c r="N33" s="98"/>
      <c r="O33" s="96" t="s">
        <v>56</v>
      </c>
      <c r="P33" s="96" t="s">
        <v>56</v>
      </c>
      <c r="Q33" s="96" t="s">
        <v>56</v>
      </c>
      <c r="S33" s="38" t="s">
        <v>35</v>
      </c>
      <c r="T33" s="47"/>
      <c r="U33" s="39" t="s">
        <v>56</v>
      </c>
      <c r="V33" s="39"/>
      <c r="W33" s="39" t="s">
        <v>56</v>
      </c>
      <c r="X33" s="39"/>
      <c r="Y33" s="39" t="s">
        <v>56</v>
      </c>
      <c r="Z33" s="39" t="s">
        <v>56</v>
      </c>
      <c r="AA33" s="39" t="s">
        <v>56</v>
      </c>
      <c r="AB33" s="43"/>
      <c r="AC33" s="96" t="s">
        <v>56</v>
      </c>
      <c r="AD33" s="98"/>
      <c r="AE33" s="96" t="s">
        <v>56</v>
      </c>
      <c r="AF33" s="98"/>
      <c r="AG33" s="96" t="s">
        <v>56</v>
      </c>
      <c r="AH33" s="96" t="s">
        <v>56</v>
      </c>
      <c r="AI33" s="96" t="s">
        <v>56</v>
      </c>
      <c r="AK33" s="38" t="s">
        <v>35</v>
      </c>
      <c r="AL33" s="47"/>
      <c r="AM33" s="39">
        <v>13810</v>
      </c>
      <c r="AN33" s="39"/>
      <c r="AO33" s="39" t="s">
        <v>56</v>
      </c>
      <c r="AP33" s="39"/>
      <c r="AQ33" s="39" t="s">
        <v>56</v>
      </c>
      <c r="AR33" s="39" t="s">
        <v>56</v>
      </c>
      <c r="AS33" s="39" t="s">
        <v>56</v>
      </c>
      <c r="AT33" s="43"/>
      <c r="AU33" s="96">
        <v>38</v>
      </c>
      <c r="AV33" s="98"/>
      <c r="AW33" s="96" t="s">
        <v>56</v>
      </c>
      <c r="AX33" s="98"/>
      <c r="AY33" s="96" t="s">
        <v>56</v>
      </c>
      <c r="AZ33" s="96" t="s">
        <v>56</v>
      </c>
      <c r="BA33" s="96" t="s">
        <v>56</v>
      </c>
    </row>
    <row r="34" spans="1:53" x14ac:dyDescent="0.25">
      <c r="A34" s="38" t="s">
        <v>36</v>
      </c>
      <c r="B34" s="41"/>
      <c r="C34" s="39" t="s">
        <v>56</v>
      </c>
      <c r="D34" s="48"/>
      <c r="E34" s="39" t="s">
        <v>56</v>
      </c>
      <c r="F34" s="39"/>
      <c r="G34" s="39" t="s">
        <v>56</v>
      </c>
      <c r="H34" s="39" t="s">
        <v>56</v>
      </c>
      <c r="I34" s="39" t="s">
        <v>56</v>
      </c>
      <c r="J34" s="43"/>
      <c r="K34" s="96" t="s">
        <v>56</v>
      </c>
      <c r="L34" s="98"/>
      <c r="M34" s="96" t="s">
        <v>56</v>
      </c>
      <c r="N34" s="98"/>
      <c r="O34" s="96" t="s">
        <v>56</v>
      </c>
      <c r="P34" s="96" t="s">
        <v>56</v>
      </c>
      <c r="Q34" s="96" t="s">
        <v>56</v>
      </c>
      <c r="S34" s="38" t="s">
        <v>36</v>
      </c>
      <c r="T34" s="41"/>
      <c r="U34" s="39" t="s">
        <v>56</v>
      </c>
      <c r="V34" s="48"/>
      <c r="W34" s="39" t="s">
        <v>56</v>
      </c>
      <c r="X34" s="39"/>
      <c r="Y34" s="39" t="s">
        <v>56</v>
      </c>
      <c r="Z34" s="39" t="s">
        <v>56</v>
      </c>
      <c r="AA34" s="39" t="s">
        <v>56</v>
      </c>
      <c r="AB34" s="43"/>
      <c r="AC34" s="96" t="s">
        <v>56</v>
      </c>
      <c r="AD34" s="98"/>
      <c r="AE34" s="96" t="s">
        <v>56</v>
      </c>
      <c r="AF34" s="98"/>
      <c r="AG34" s="96" t="s">
        <v>56</v>
      </c>
      <c r="AH34" s="96" t="s">
        <v>56</v>
      </c>
      <c r="AI34" s="96" t="s">
        <v>56</v>
      </c>
      <c r="AK34" s="38" t="s">
        <v>36</v>
      </c>
      <c r="AL34" s="41"/>
      <c r="AM34" s="39">
        <v>13700</v>
      </c>
      <c r="AN34" s="48"/>
      <c r="AO34" s="39" t="s">
        <v>56</v>
      </c>
      <c r="AP34" s="39"/>
      <c r="AQ34" s="39" t="s">
        <v>56</v>
      </c>
      <c r="AR34" s="39" t="s">
        <v>56</v>
      </c>
      <c r="AS34" s="39" t="s">
        <v>56</v>
      </c>
      <c r="AT34" s="43"/>
      <c r="AU34" s="96">
        <v>44</v>
      </c>
      <c r="AV34" s="98"/>
      <c r="AW34" s="96" t="s">
        <v>56</v>
      </c>
      <c r="AX34" s="98"/>
      <c r="AY34" s="96" t="s">
        <v>56</v>
      </c>
      <c r="AZ34" s="96" t="s">
        <v>56</v>
      </c>
      <c r="BA34" s="96" t="s">
        <v>56</v>
      </c>
    </row>
    <row r="35" spans="1:53" x14ac:dyDescent="0.25">
      <c r="A35" s="38" t="s">
        <v>37</v>
      </c>
      <c r="B35" s="36"/>
      <c r="C35" s="39" t="s">
        <v>56</v>
      </c>
      <c r="D35" s="39"/>
      <c r="E35" s="39" t="s">
        <v>56</v>
      </c>
      <c r="F35" s="39"/>
      <c r="G35" s="39" t="s">
        <v>56</v>
      </c>
      <c r="H35" s="39" t="s">
        <v>56</v>
      </c>
      <c r="I35" s="39" t="s">
        <v>56</v>
      </c>
      <c r="J35" s="43"/>
      <c r="K35" s="96" t="s">
        <v>56</v>
      </c>
      <c r="L35" s="98"/>
      <c r="M35" s="96" t="s">
        <v>56</v>
      </c>
      <c r="N35" s="98"/>
      <c r="O35" s="96" t="s">
        <v>56</v>
      </c>
      <c r="P35" s="96" t="s">
        <v>56</v>
      </c>
      <c r="Q35" s="96" t="s">
        <v>56</v>
      </c>
      <c r="S35" s="38" t="s">
        <v>37</v>
      </c>
      <c r="T35" s="36"/>
      <c r="U35" s="39" t="s">
        <v>56</v>
      </c>
      <c r="V35" s="39"/>
      <c r="W35" s="39" t="s">
        <v>56</v>
      </c>
      <c r="X35" s="39"/>
      <c r="Y35" s="39" t="s">
        <v>56</v>
      </c>
      <c r="Z35" s="39" t="s">
        <v>56</v>
      </c>
      <c r="AA35" s="39" t="s">
        <v>56</v>
      </c>
      <c r="AB35" s="43"/>
      <c r="AC35" s="96" t="s">
        <v>56</v>
      </c>
      <c r="AD35" s="98"/>
      <c r="AE35" s="96" t="s">
        <v>56</v>
      </c>
      <c r="AF35" s="98"/>
      <c r="AG35" s="96" t="s">
        <v>56</v>
      </c>
      <c r="AH35" s="96" t="s">
        <v>56</v>
      </c>
      <c r="AI35" s="96" t="s">
        <v>56</v>
      </c>
      <c r="AK35" s="38" t="s">
        <v>37</v>
      </c>
      <c r="AL35" s="36"/>
      <c r="AM35" s="39">
        <v>13810</v>
      </c>
      <c r="AN35" s="39"/>
      <c r="AO35" s="39" t="s">
        <v>56</v>
      </c>
      <c r="AP35" s="39"/>
      <c r="AQ35" s="39" t="s">
        <v>56</v>
      </c>
      <c r="AR35" s="39" t="s">
        <v>56</v>
      </c>
      <c r="AS35" s="39" t="s">
        <v>56</v>
      </c>
      <c r="AT35" s="43"/>
      <c r="AU35" s="96">
        <v>42</v>
      </c>
      <c r="AV35" s="98"/>
      <c r="AW35" s="96" t="s">
        <v>56</v>
      </c>
      <c r="AX35" s="98"/>
      <c r="AY35" s="96" t="s">
        <v>56</v>
      </c>
      <c r="AZ35" s="96" t="s">
        <v>56</v>
      </c>
      <c r="BA35" s="96" t="s">
        <v>56</v>
      </c>
    </row>
    <row r="36" spans="1:53" x14ac:dyDescent="0.25">
      <c r="A36" s="38" t="s">
        <v>38</v>
      </c>
      <c r="B36" s="36"/>
      <c r="C36" s="39" t="s">
        <v>56</v>
      </c>
      <c r="D36" s="39"/>
      <c r="E36" s="39" t="s">
        <v>56</v>
      </c>
      <c r="F36" s="39"/>
      <c r="G36" s="39" t="s">
        <v>56</v>
      </c>
      <c r="H36" s="39" t="s">
        <v>56</v>
      </c>
      <c r="I36" s="39" t="s">
        <v>56</v>
      </c>
      <c r="J36" s="43"/>
      <c r="K36" s="96" t="s">
        <v>56</v>
      </c>
      <c r="L36" s="98"/>
      <c r="M36" s="96" t="s">
        <v>56</v>
      </c>
      <c r="N36" s="98"/>
      <c r="O36" s="96" t="s">
        <v>56</v>
      </c>
      <c r="P36" s="96" t="s">
        <v>56</v>
      </c>
      <c r="Q36" s="96" t="s">
        <v>56</v>
      </c>
      <c r="S36" s="38" t="s">
        <v>38</v>
      </c>
      <c r="T36" s="36"/>
      <c r="U36" s="39" t="s">
        <v>56</v>
      </c>
      <c r="V36" s="39"/>
      <c r="W36" s="39" t="s">
        <v>56</v>
      </c>
      <c r="X36" s="39"/>
      <c r="Y36" s="39" t="s">
        <v>56</v>
      </c>
      <c r="Z36" s="39" t="s">
        <v>56</v>
      </c>
      <c r="AA36" s="39" t="s">
        <v>56</v>
      </c>
      <c r="AB36" s="43"/>
      <c r="AC36" s="96" t="s">
        <v>56</v>
      </c>
      <c r="AD36" s="98"/>
      <c r="AE36" s="96" t="s">
        <v>56</v>
      </c>
      <c r="AF36" s="98"/>
      <c r="AG36" s="96" t="s">
        <v>56</v>
      </c>
      <c r="AH36" s="96" t="s">
        <v>56</v>
      </c>
      <c r="AI36" s="96" t="s">
        <v>56</v>
      </c>
      <c r="AK36" s="38" t="s">
        <v>38</v>
      </c>
      <c r="AL36" s="36"/>
      <c r="AM36" s="39">
        <v>13700</v>
      </c>
      <c r="AN36" s="39"/>
      <c r="AO36" s="39" t="s">
        <v>56</v>
      </c>
      <c r="AP36" s="39"/>
      <c r="AQ36" s="39" t="s">
        <v>56</v>
      </c>
      <c r="AR36" s="39" t="s">
        <v>56</v>
      </c>
      <c r="AS36" s="39" t="s">
        <v>56</v>
      </c>
      <c r="AT36" s="43"/>
      <c r="AU36" s="96">
        <v>25</v>
      </c>
      <c r="AV36" s="98"/>
      <c r="AW36" s="96" t="s">
        <v>56</v>
      </c>
      <c r="AX36" s="98"/>
      <c r="AY36" s="96" t="s">
        <v>56</v>
      </c>
      <c r="AZ36" s="96" t="s">
        <v>56</v>
      </c>
      <c r="BA36" s="96" t="s">
        <v>56</v>
      </c>
    </row>
    <row r="37" spans="1:53" x14ac:dyDescent="0.25">
      <c r="A37" s="30"/>
      <c r="B37" s="30"/>
      <c r="C37" s="30"/>
      <c r="D37" s="30"/>
      <c r="E37" s="30"/>
      <c r="F37" s="30"/>
      <c r="G37" s="30"/>
      <c r="H37" s="30"/>
      <c r="I37" s="30"/>
      <c r="J37" s="30"/>
      <c r="K37" s="30"/>
      <c r="L37" s="30"/>
      <c r="M37" s="30"/>
      <c r="N37" s="30"/>
      <c r="O37" s="30"/>
      <c r="P37" s="30"/>
      <c r="Q37" s="30"/>
      <c r="S37" s="30"/>
      <c r="T37" s="30"/>
      <c r="U37" s="30"/>
      <c r="V37" s="30"/>
      <c r="W37" s="30"/>
      <c r="X37" s="30"/>
      <c r="Y37" s="30"/>
      <c r="Z37" s="30"/>
      <c r="AA37" s="30"/>
      <c r="AB37" s="30"/>
      <c r="AC37" s="30"/>
      <c r="AD37" s="30"/>
      <c r="AE37" s="30"/>
      <c r="AF37" s="30"/>
      <c r="AG37" s="30"/>
      <c r="AH37" s="30"/>
      <c r="AI37" s="30"/>
      <c r="AK37" s="30"/>
      <c r="AL37" s="30"/>
      <c r="AM37" s="30"/>
      <c r="AN37" s="30"/>
      <c r="AO37" s="30"/>
      <c r="AP37" s="30"/>
      <c r="AQ37" s="30"/>
      <c r="AR37" s="30"/>
      <c r="AS37" s="30"/>
      <c r="AT37" s="30"/>
      <c r="AU37" s="30"/>
      <c r="AV37" s="30"/>
      <c r="AW37" s="30"/>
      <c r="AX37" s="30"/>
      <c r="AY37" s="30"/>
      <c r="AZ37" s="30"/>
      <c r="BA37" s="30"/>
    </row>
    <row r="38" spans="1:53" x14ac:dyDescent="0.25">
      <c r="Q38" s="49" t="s">
        <v>26</v>
      </c>
      <c r="AI38" s="49" t="s">
        <v>26</v>
      </c>
      <c r="BA38" s="49" t="s">
        <v>26</v>
      </c>
    </row>
  </sheetData>
  <mergeCells count="6">
    <mergeCell ref="AU8:BA8"/>
    <mergeCell ref="C8:I8"/>
    <mergeCell ref="K8:Q8"/>
    <mergeCell ref="U8:AA8"/>
    <mergeCell ref="AC8:AI8"/>
    <mergeCell ref="AM8:AS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Q53"/>
  <sheetViews>
    <sheetView workbookViewId="0"/>
  </sheetViews>
  <sheetFormatPr defaultColWidth="9" defaultRowHeight="15" x14ac:dyDescent="0.25"/>
  <cols>
    <col min="1" max="1" width="2.7109375" style="16" customWidth="1"/>
    <col min="2" max="2" width="50" style="16" customWidth="1"/>
    <col min="3" max="6" width="9" style="16"/>
    <col min="7" max="7" width="2.5703125" style="16" customWidth="1"/>
    <col min="8" max="11" width="9" style="16"/>
    <col min="12" max="12" width="3.140625" style="16" customWidth="1"/>
    <col min="13" max="16" width="9" style="16"/>
    <col min="17" max="17" width="4.7109375" style="16" customWidth="1"/>
    <col min="18" max="22" width="9" style="16"/>
    <col min="23" max="23" width="2.7109375" style="16" customWidth="1"/>
    <col min="24" max="24" width="50" style="16" customWidth="1"/>
    <col min="25" max="28" width="9" style="16"/>
    <col min="29" max="29" width="2.5703125" style="16" customWidth="1"/>
    <col min="30" max="33" width="9" style="16"/>
    <col min="34" max="34" width="3.140625" style="16" customWidth="1"/>
    <col min="35" max="38" width="9" style="16"/>
    <col min="39" max="39" width="4.7109375" style="16" customWidth="1"/>
    <col min="40" max="44" width="9" style="16"/>
    <col min="45" max="45" width="2.7109375" style="16" customWidth="1"/>
    <col min="46" max="46" width="50" style="16" customWidth="1"/>
    <col min="47" max="50" width="9" style="16"/>
    <col min="51" max="51" width="2.5703125" style="16" customWidth="1"/>
    <col min="52" max="55" width="9" style="16"/>
    <col min="56" max="56" width="3.140625" style="16" customWidth="1"/>
    <col min="57" max="60" width="9" style="16"/>
    <col min="61" max="61" width="4.7109375" style="16" customWidth="1"/>
    <col min="62" max="67" width="9" style="16"/>
    <col min="68" max="68" width="12.42578125" style="16" bestFit="1" customWidth="1"/>
    <col min="69" max="69" width="18.42578125" style="16" bestFit="1" customWidth="1"/>
    <col min="70" max="16384" width="9" style="16"/>
  </cols>
  <sheetData>
    <row r="1" spans="1:69" ht="15" customHeight="1" x14ac:dyDescent="0.25">
      <c r="A1" s="15"/>
      <c r="W1" s="15"/>
      <c r="AS1" s="15"/>
      <c r="BP1" s="75"/>
      <c r="BQ1" s="75"/>
    </row>
    <row r="2" spans="1:69" ht="15" customHeight="1" x14ac:dyDescent="0.25">
      <c r="A2" s="204"/>
      <c r="B2" s="31"/>
      <c r="C2" s="31"/>
      <c r="D2" s="31"/>
      <c r="E2" s="31"/>
      <c r="F2" s="31"/>
      <c r="G2" s="31"/>
      <c r="H2" s="31"/>
      <c r="I2" s="31"/>
      <c r="J2" s="31"/>
      <c r="K2" s="31"/>
      <c r="L2" s="31"/>
      <c r="W2" s="204"/>
      <c r="X2" s="31"/>
      <c r="Y2" s="31"/>
      <c r="Z2" s="31"/>
      <c r="AA2" s="31"/>
      <c r="AB2" s="31"/>
      <c r="AC2" s="31"/>
      <c r="AD2" s="31"/>
      <c r="AE2" s="31"/>
      <c r="AF2" s="31"/>
      <c r="AG2" s="31"/>
      <c r="AH2" s="31"/>
      <c r="AS2" s="204"/>
      <c r="AT2" s="31"/>
      <c r="AU2" s="31"/>
      <c r="AV2" s="31"/>
      <c r="AW2" s="31"/>
      <c r="AX2" s="31"/>
      <c r="AY2" s="31"/>
      <c r="AZ2" s="31"/>
      <c r="BA2" s="31"/>
      <c r="BB2" s="31"/>
      <c r="BC2" s="31"/>
      <c r="BD2" s="31"/>
      <c r="BP2" s="75"/>
      <c r="BQ2" s="75"/>
    </row>
    <row r="3" spans="1:69" ht="30" customHeight="1" x14ac:dyDescent="0.25">
      <c r="A3" s="345" t="s">
        <v>110</v>
      </c>
      <c r="B3" s="345"/>
      <c r="C3" s="345"/>
      <c r="D3" s="345"/>
      <c r="E3" s="345"/>
      <c r="F3" s="345"/>
      <c r="G3" s="345"/>
      <c r="H3" s="345"/>
      <c r="I3" s="345"/>
      <c r="J3" s="345"/>
      <c r="K3" s="345"/>
      <c r="L3" s="345"/>
      <c r="M3" s="345"/>
      <c r="N3" s="345"/>
      <c r="O3" s="345"/>
      <c r="P3" s="345"/>
      <c r="W3" s="345" t="s">
        <v>110</v>
      </c>
      <c r="X3" s="345"/>
      <c r="Y3" s="345"/>
      <c r="Z3" s="345"/>
      <c r="AA3" s="345"/>
      <c r="AB3" s="345"/>
      <c r="AC3" s="345"/>
      <c r="AD3" s="345"/>
      <c r="AE3" s="345"/>
      <c r="AF3" s="345"/>
      <c r="AG3" s="345"/>
      <c r="AH3" s="345"/>
      <c r="AI3" s="345"/>
      <c r="AJ3" s="345"/>
      <c r="AK3" s="345"/>
      <c r="AL3" s="345"/>
      <c r="AS3" s="345" t="s">
        <v>110</v>
      </c>
      <c r="AT3" s="345"/>
      <c r="AU3" s="345"/>
      <c r="AV3" s="345"/>
      <c r="AW3" s="345"/>
      <c r="AX3" s="345"/>
      <c r="AY3" s="345"/>
      <c r="AZ3" s="345"/>
      <c r="BA3" s="345"/>
      <c r="BB3" s="345"/>
      <c r="BC3" s="345"/>
      <c r="BD3" s="345"/>
      <c r="BE3" s="345"/>
      <c r="BF3" s="345"/>
      <c r="BG3" s="345"/>
      <c r="BH3" s="345"/>
      <c r="BP3" s="75"/>
      <c r="BQ3" s="75"/>
    </row>
    <row r="4" spans="1:69" ht="15" customHeight="1" x14ac:dyDescent="0.25">
      <c r="A4" s="32" t="s">
        <v>97</v>
      </c>
      <c r="B4" s="20"/>
      <c r="C4" s="20"/>
      <c r="D4" s="20"/>
      <c r="E4" s="20"/>
      <c r="F4" s="19"/>
      <c r="G4" s="20"/>
      <c r="H4" s="20"/>
      <c r="I4" s="20"/>
      <c r="K4" s="20"/>
      <c r="M4" s="20"/>
      <c r="N4" s="20"/>
      <c r="O4" s="20"/>
      <c r="P4" s="20"/>
      <c r="Q4" s="20"/>
      <c r="R4" s="20"/>
      <c r="S4" s="20"/>
      <c r="W4" s="32" t="s">
        <v>97</v>
      </c>
      <c r="X4" s="53"/>
      <c r="Y4" s="20"/>
      <c r="Z4" s="20"/>
      <c r="AA4" s="20"/>
      <c r="AB4" s="19"/>
      <c r="AC4" s="20"/>
      <c r="AD4" s="20"/>
      <c r="AE4" s="20"/>
      <c r="AG4" s="20"/>
      <c r="AI4" s="20"/>
      <c r="AJ4" s="20"/>
      <c r="AK4" s="20"/>
      <c r="AL4" s="20"/>
      <c r="AM4" s="20"/>
      <c r="AN4" s="20"/>
      <c r="AO4" s="20"/>
      <c r="AS4" s="32" t="s">
        <v>97</v>
      </c>
      <c r="AT4" s="53"/>
      <c r="AU4" s="20"/>
      <c r="AV4" s="20"/>
      <c r="AW4" s="20"/>
      <c r="AX4" s="19"/>
      <c r="AY4" s="20"/>
      <c r="AZ4" s="20"/>
      <c r="BA4" s="20"/>
      <c r="BC4" s="20"/>
      <c r="BE4" s="20"/>
      <c r="BF4" s="20"/>
      <c r="BG4" s="20"/>
      <c r="BH4" s="20"/>
      <c r="BI4" s="20"/>
      <c r="BJ4" s="20"/>
      <c r="BK4" s="20"/>
      <c r="BP4" s="75"/>
      <c r="BQ4" s="75"/>
    </row>
    <row r="5" spans="1:69" ht="15" customHeight="1" x14ac:dyDescent="0.25">
      <c r="A5" s="18" t="s">
        <v>47</v>
      </c>
      <c r="B5" s="20"/>
      <c r="C5" s="20"/>
      <c r="D5" s="20"/>
      <c r="E5" s="20"/>
      <c r="F5" s="20"/>
      <c r="G5" s="20"/>
      <c r="H5" s="20"/>
      <c r="I5" s="20"/>
      <c r="J5" s="20"/>
      <c r="K5" s="20"/>
      <c r="L5" s="20"/>
      <c r="M5" s="20"/>
      <c r="N5" s="20"/>
      <c r="O5" s="20"/>
      <c r="P5" s="20"/>
      <c r="Q5" s="20"/>
      <c r="R5" s="20"/>
      <c r="S5" s="20"/>
      <c r="U5" s="16" t="s">
        <v>20</v>
      </c>
      <c r="W5" s="18" t="s">
        <v>47</v>
      </c>
      <c r="X5" s="53"/>
      <c r="Y5" s="20"/>
      <c r="Z5" s="20"/>
      <c r="AA5" s="20"/>
      <c r="AB5" s="20"/>
      <c r="AC5" s="20"/>
      <c r="AD5" s="20"/>
      <c r="AE5" s="20"/>
      <c r="AF5" s="20"/>
      <c r="AG5" s="20"/>
      <c r="AH5" s="20"/>
      <c r="AI5" s="20"/>
      <c r="AJ5" s="20"/>
      <c r="AK5" s="20"/>
      <c r="AL5" s="20"/>
      <c r="AM5" s="20"/>
      <c r="AN5" s="20"/>
      <c r="AO5" s="20"/>
      <c r="AQ5" s="16" t="s">
        <v>19</v>
      </c>
      <c r="AS5" s="18" t="s">
        <v>47</v>
      </c>
      <c r="AT5" s="53"/>
      <c r="AU5" s="20"/>
      <c r="AV5" s="20"/>
      <c r="AW5" s="20"/>
      <c r="AX5" s="20"/>
      <c r="AY5" s="20"/>
      <c r="AZ5" s="20"/>
      <c r="BA5" s="20"/>
      <c r="BB5" s="20"/>
      <c r="BC5" s="20"/>
      <c r="BD5" s="20"/>
      <c r="BE5" s="20"/>
      <c r="BF5" s="20"/>
      <c r="BG5" s="20"/>
      <c r="BH5" s="20"/>
      <c r="BI5" s="20"/>
      <c r="BJ5" s="20"/>
      <c r="BK5" s="20"/>
      <c r="BM5" s="16" t="s">
        <v>18</v>
      </c>
    </row>
    <row r="6" spans="1:69" ht="15" customHeight="1" x14ac:dyDescent="0.25">
      <c r="A6" s="54"/>
      <c r="B6" s="22"/>
      <c r="C6" s="20"/>
      <c r="D6" s="20"/>
      <c r="E6" s="20"/>
      <c r="F6" s="22"/>
      <c r="G6" s="20"/>
      <c r="H6" s="20"/>
      <c r="I6" s="20"/>
      <c r="J6" s="20"/>
      <c r="K6" s="20"/>
      <c r="L6" s="20"/>
      <c r="M6" s="20"/>
      <c r="N6" s="20"/>
      <c r="O6" s="20"/>
      <c r="P6" s="20"/>
      <c r="Q6" s="20"/>
      <c r="R6" s="20"/>
      <c r="S6" s="20"/>
      <c r="T6" s="24" t="s">
        <v>17</v>
      </c>
      <c r="U6" s="205" t="s">
        <v>20</v>
      </c>
      <c r="W6" s="54"/>
      <c r="X6" s="55"/>
      <c r="Y6" s="20"/>
      <c r="Z6" s="20"/>
      <c r="AA6" s="20"/>
      <c r="AB6" s="22"/>
      <c r="AC6" s="20"/>
      <c r="AD6" s="20"/>
      <c r="AE6" s="20"/>
      <c r="AF6" s="20"/>
      <c r="AG6" s="20"/>
      <c r="AH6" s="20"/>
      <c r="AI6" s="20"/>
      <c r="AJ6" s="20"/>
      <c r="AK6" s="20"/>
      <c r="AL6" s="20"/>
      <c r="AM6" s="20"/>
      <c r="AN6" s="20"/>
      <c r="AO6" s="20"/>
      <c r="AP6" s="24" t="s">
        <v>17</v>
      </c>
      <c r="AQ6" s="205" t="s">
        <v>19</v>
      </c>
      <c r="AS6" s="54"/>
      <c r="AT6" s="55"/>
      <c r="AU6" s="20"/>
      <c r="AV6" s="20"/>
      <c r="AW6" s="20"/>
      <c r="AX6" s="22"/>
      <c r="AY6" s="20"/>
      <c r="AZ6" s="20"/>
      <c r="BA6" s="20"/>
      <c r="BB6" s="20"/>
      <c r="BC6" s="20"/>
      <c r="BD6" s="20"/>
      <c r="BE6" s="20"/>
      <c r="BF6" s="20"/>
      <c r="BG6" s="20"/>
      <c r="BH6" s="20"/>
      <c r="BI6" s="20"/>
      <c r="BJ6" s="20"/>
      <c r="BK6" s="20"/>
      <c r="BL6" s="24" t="s">
        <v>17</v>
      </c>
      <c r="BM6" s="205" t="s">
        <v>18</v>
      </c>
    </row>
    <row r="7" spans="1:69" ht="15" customHeight="1" x14ac:dyDescent="0.25">
      <c r="A7" s="77"/>
      <c r="B7" s="78"/>
      <c r="C7" s="79"/>
      <c r="D7" s="79"/>
      <c r="E7" s="79"/>
      <c r="F7" s="79"/>
      <c r="G7" s="79"/>
      <c r="H7" s="79"/>
      <c r="I7" s="79"/>
      <c r="J7" s="79"/>
      <c r="K7" s="79"/>
      <c r="L7" s="79"/>
      <c r="W7" s="77"/>
      <c r="X7" s="78"/>
      <c r="Y7" s="79"/>
      <c r="Z7" s="79"/>
      <c r="AA7" s="79"/>
      <c r="AB7" s="79"/>
      <c r="AC7" s="79"/>
      <c r="AD7" s="79"/>
      <c r="AE7" s="79"/>
      <c r="AF7" s="79"/>
      <c r="AG7" s="79"/>
      <c r="AH7" s="79"/>
      <c r="AS7" s="77"/>
      <c r="AT7" s="78"/>
      <c r="AU7" s="79"/>
      <c r="AV7" s="79"/>
      <c r="AW7" s="79"/>
      <c r="AX7" s="79"/>
      <c r="AY7" s="79"/>
      <c r="AZ7" s="79"/>
      <c r="BA7" s="79"/>
      <c r="BB7" s="79"/>
      <c r="BC7" s="79"/>
      <c r="BD7" s="79"/>
    </row>
    <row r="8" spans="1:69" ht="15" customHeight="1" x14ac:dyDescent="0.25">
      <c r="A8" s="25"/>
      <c r="B8" s="25"/>
      <c r="C8" s="346" t="s">
        <v>111</v>
      </c>
      <c r="D8" s="347"/>
      <c r="E8" s="347"/>
      <c r="F8" s="348"/>
      <c r="G8" s="117"/>
      <c r="H8" s="346" t="s">
        <v>112</v>
      </c>
      <c r="I8" s="347"/>
      <c r="J8" s="347"/>
      <c r="K8" s="348"/>
      <c r="L8" s="117"/>
      <c r="M8" s="343" t="s">
        <v>113</v>
      </c>
      <c r="N8" s="343"/>
      <c r="O8" s="343"/>
      <c r="P8" s="343"/>
      <c r="Q8" s="117"/>
      <c r="R8" s="343" t="s">
        <v>20</v>
      </c>
      <c r="S8" s="343"/>
      <c r="T8" s="343"/>
      <c r="U8" s="343"/>
      <c r="W8" s="25"/>
      <c r="X8" s="25"/>
      <c r="Y8" s="346" t="s">
        <v>111</v>
      </c>
      <c r="Z8" s="347"/>
      <c r="AA8" s="347"/>
      <c r="AB8" s="348"/>
      <c r="AC8" s="117"/>
      <c r="AD8" s="346" t="s">
        <v>112</v>
      </c>
      <c r="AE8" s="347"/>
      <c r="AF8" s="347"/>
      <c r="AG8" s="348"/>
      <c r="AH8" s="117"/>
      <c r="AI8" s="343" t="s">
        <v>113</v>
      </c>
      <c r="AJ8" s="343"/>
      <c r="AK8" s="343"/>
      <c r="AL8" s="343"/>
      <c r="AM8" s="117"/>
      <c r="AN8" s="343" t="s">
        <v>20</v>
      </c>
      <c r="AO8" s="343"/>
      <c r="AP8" s="343"/>
      <c r="AQ8" s="343"/>
      <c r="AS8" s="25"/>
      <c r="AT8" s="25"/>
      <c r="AU8" s="346" t="s">
        <v>111</v>
      </c>
      <c r="AV8" s="347"/>
      <c r="AW8" s="347"/>
      <c r="AX8" s="348"/>
      <c r="AY8" s="117"/>
      <c r="AZ8" s="346" t="s">
        <v>112</v>
      </c>
      <c r="BA8" s="347"/>
      <c r="BB8" s="347"/>
      <c r="BC8" s="348"/>
      <c r="BD8" s="117"/>
      <c r="BE8" s="343" t="s">
        <v>113</v>
      </c>
      <c r="BF8" s="343"/>
      <c r="BG8" s="343"/>
      <c r="BH8" s="343"/>
      <c r="BI8" s="117"/>
      <c r="BJ8" s="343" t="s">
        <v>20</v>
      </c>
      <c r="BK8" s="343"/>
      <c r="BL8" s="343"/>
      <c r="BM8" s="343"/>
    </row>
    <row r="9" spans="1:69" ht="45" customHeight="1" x14ac:dyDescent="0.25">
      <c r="A9" s="26"/>
      <c r="B9" s="58"/>
      <c r="C9" s="59" t="s">
        <v>41</v>
      </c>
      <c r="D9" s="60" t="s">
        <v>42</v>
      </c>
      <c r="E9" s="61" t="s">
        <v>43</v>
      </c>
      <c r="F9" s="61" t="s">
        <v>44</v>
      </c>
      <c r="G9" s="61"/>
      <c r="H9" s="59" t="s">
        <v>41</v>
      </c>
      <c r="I9" s="60" t="s">
        <v>42</v>
      </c>
      <c r="J9" s="61" t="s">
        <v>43</v>
      </c>
      <c r="K9" s="61" t="s">
        <v>44</v>
      </c>
      <c r="L9" s="61"/>
      <c r="M9" s="59" t="s">
        <v>41</v>
      </c>
      <c r="N9" s="60" t="s">
        <v>42</v>
      </c>
      <c r="O9" s="61" t="s">
        <v>43</v>
      </c>
      <c r="P9" s="61" t="s">
        <v>44</v>
      </c>
      <c r="Q9" s="61"/>
      <c r="R9" s="59" t="s">
        <v>41</v>
      </c>
      <c r="S9" s="60" t="s">
        <v>42</v>
      </c>
      <c r="T9" s="61" t="s">
        <v>43</v>
      </c>
      <c r="U9" s="61" t="s">
        <v>44</v>
      </c>
      <c r="W9" s="26"/>
      <c r="X9" s="58"/>
      <c r="Y9" s="59" t="s">
        <v>41</v>
      </c>
      <c r="Z9" s="60" t="s">
        <v>42</v>
      </c>
      <c r="AA9" s="61" t="s">
        <v>43</v>
      </c>
      <c r="AB9" s="61" t="s">
        <v>44</v>
      </c>
      <c r="AC9" s="61"/>
      <c r="AD9" s="59" t="s">
        <v>41</v>
      </c>
      <c r="AE9" s="60" t="s">
        <v>42</v>
      </c>
      <c r="AF9" s="61" t="s">
        <v>43</v>
      </c>
      <c r="AG9" s="61" t="s">
        <v>44</v>
      </c>
      <c r="AH9" s="61"/>
      <c r="AI9" s="59" t="s">
        <v>41</v>
      </c>
      <c r="AJ9" s="60" t="s">
        <v>42</v>
      </c>
      <c r="AK9" s="61" t="s">
        <v>43</v>
      </c>
      <c r="AL9" s="61" t="s">
        <v>44</v>
      </c>
      <c r="AM9" s="61"/>
      <c r="AN9" s="59" t="s">
        <v>41</v>
      </c>
      <c r="AO9" s="60" t="s">
        <v>42</v>
      </c>
      <c r="AP9" s="61" t="s">
        <v>43</v>
      </c>
      <c r="AQ9" s="61" t="s">
        <v>44</v>
      </c>
      <c r="AS9" s="26"/>
      <c r="AT9" s="58"/>
      <c r="AU9" s="59" t="s">
        <v>41</v>
      </c>
      <c r="AV9" s="60" t="s">
        <v>42</v>
      </c>
      <c r="AW9" s="61" t="s">
        <v>43</v>
      </c>
      <c r="AX9" s="61" t="s">
        <v>44</v>
      </c>
      <c r="AY9" s="61"/>
      <c r="AZ9" s="59" t="s">
        <v>41</v>
      </c>
      <c r="BA9" s="60" t="s">
        <v>42</v>
      </c>
      <c r="BB9" s="61" t="s">
        <v>43</v>
      </c>
      <c r="BC9" s="61" t="s">
        <v>44</v>
      </c>
      <c r="BD9" s="61"/>
      <c r="BE9" s="59" t="s">
        <v>41</v>
      </c>
      <c r="BF9" s="60" t="s">
        <v>42</v>
      </c>
      <c r="BG9" s="61" t="s">
        <v>43</v>
      </c>
      <c r="BH9" s="61" t="s">
        <v>44</v>
      </c>
      <c r="BI9" s="61"/>
      <c r="BJ9" s="59" t="s">
        <v>41</v>
      </c>
      <c r="BK9" s="60" t="s">
        <v>42</v>
      </c>
      <c r="BL9" s="61" t="s">
        <v>43</v>
      </c>
      <c r="BM9" s="61" t="s">
        <v>44</v>
      </c>
    </row>
    <row r="10" spans="1:69" ht="15" customHeight="1" x14ac:dyDescent="0.25">
      <c r="A10" s="37"/>
      <c r="B10" s="22"/>
      <c r="C10" s="206">
        <v>1</v>
      </c>
      <c r="D10" s="206">
        <f>C10+1</f>
        <v>2</v>
      </c>
      <c r="E10" s="206">
        <f t="shared" ref="E10:U10" si="0">D10+1</f>
        <v>3</v>
      </c>
      <c r="F10" s="206">
        <f t="shared" si="0"/>
        <v>4</v>
      </c>
      <c r="G10" s="206">
        <f t="shared" si="0"/>
        <v>5</v>
      </c>
      <c r="H10" s="206">
        <f t="shared" si="0"/>
        <v>6</v>
      </c>
      <c r="I10" s="206">
        <f t="shared" si="0"/>
        <v>7</v>
      </c>
      <c r="J10" s="206">
        <f t="shared" si="0"/>
        <v>8</v>
      </c>
      <c r="K10" s="206">
        <f t="shared" si="0"/>
        <v>9</v>
      </c>
      <c r="L10" s="206">
        <f t="shared" si="0"/>
        <v>10</v>
      </c>
      <c r="M10" s="206">
        <f t="shared" si="0"/>
        <v>11</v>
      </c>
      <c r="N10" s="206">
        <f t="shared" si="0"/>
        <v>12</v>
      </c>
      <c r="O10" s="206">
        <f t="shared" si="0"/>
        <v>13</v>
      </c>
      <c r="P10" s="206">
        <f t="shared" si="0"/>
        <v>14</v>
      </c>
      <c r="Q10" s="206">
        <f t="shared" si="0"/>
        <v>15</v>
      </c>
      <c r="R10" s="206">
        <f t="shared" si="0"/>
        <v>16</v>
      </c>
      <c r="S10" s="206">
        <f t="shared" si="0"/>
        <v>17</v>
      </c>
      <c r="T10" s="206">
        <f t="shared" si="0"/>
        <v>18</v>
      </c>
      <c r="U10" s="206">
        <f t="shared" si="0"/>
        <v>19</v>
      </c>
      <c r="V10" s="206">
        <f t="shared" ref="V10" si="1">U10+1</f>
        <v>20</v>
      </c>
      <c r="W10" s="206">
        <f t="shared" ref="W10" si="2">V10+1</f>
        <v>21</v>
      </c>
      <c r="X10" s="206">
        <f t="shared" ref="X10" si="3">W10+1</f>
        <v>22</v>
      </c>
      <c r="Y10" s="206">
        <f t="shared" ref="Y10" si="4">X10+1</f>
        <v>23</v>
      </c>
      <c r="Z10" s="206">
        <f t="shared" ref="Z10" si="5">Y10+1</f>
        <v>24</v>
      </c>
      <c r="AA10" s="206">
        <f t="shared" ref="AA10" si="6">Z10+1</f>
        <v>25</v>
      </c>
      <c r="AB10" s="206">
        <f t="shared" ref="AB10" si="7">AA10+1</f>
        <v>26</v>
      </c>
      <c r="AC10" s="206">
        <f t="shared" ref="AC10" si="8">AB10+1</f>
        <v>27</v>
      </c>
      <c r="AD10" s="206">
        <f t="shared" ref="AD10" si="9">AC10+1</f>
        <v>28</v>
      </c>
      <c r="AE10" s="206">
        <f t="shared" ref="AE10" si="10">AD10+1</f>
        <v>29</v>
      </c>
      <c r="AF10" s="206">
        <f t="shared" ref="AF10" si="11">AE10+1</f>
        <v>30</v>
      </c>
      <c r="AG10" s="206">
        <f t="shared" ref="AG10" si="12">AF10+1</f>
        <v>31</v>
      </c>
      <c r="AH10" s="206">
        <f t="shared" ref="AH10" si="13">AG10+1</f>
        <v>32</v>
      </c>
      <c r="AI10" s="206">
        <f t="shared" ref="AI10" si="14">AH10+1</f>
        <v>33</v>
      </c>
      <c r="AJ10" s="206">
        <f t="shared" ref="AJ10" si="15">AI10+1</f>
        <v>34</v>
      </c>
      <c r="AK10" s="206">
        <f t="shared" ref="AK10" si="16">AJ10+1</f>
        <v>35</v>
      </c>
      <c r="AL10" s="206">
        <f t="shared" ref="AL10" si="17">AK10+1</f>
        <v>36</v>
      </c>
      <c r="AM10" s="206">
        <f t="shared" ref="AM10" si="18">AL10+1</f>
        <v>37</v>
      </c>
      <c r="AN10" s="206">
        <f t="shared" ref="AN10" si="19">AM10+1</f>
        <v>38</v>
      </c>
      <c r="AO10" s="206">
        <f t="shared" ref="AO10" si="20">AN10+1</f>
        <v>39</v>
      </c>
      <c r="AP10" s="206">
        <f t="shared" ref="AP10" si="21">AO10+1</f>
        <v>40</v>
      </c>
      <c r="AQ10" s="206">
        <f t="shared" ref="AQ10" si="22">AP10+1</f>
        <v>41</v>
      </c>
      <c r="AR10" s="206">
        <f t="shared" ref="AR10" si="23">AQ10+1</f>
        <v>42</v>
      </c>
      <c r="AS10" s="206">
        <f t="shared" ref="AS10" si="24">AR10+1</f>
        <v>43</v>
      </c>
      <c r="AT10" s="206">
        <f t="shared" ref="AT10" si="25">AS10+1</f>
        <v>44</v>
      </c>
      <c r="AU10" s="206">
        <f t="shared" ref="AU10" si="26">AT10+1</f>
        <v>45</v>
      </c>
      <c r="AV10" s="206">
        <f t="shared" ref="AV10" si="27">AU10+1</f>
        <v>46</v>
      </c>
      <c r="AW10" s="206">
        <f t="shared" ref="AW10" si="28">AV10+1</f>
        <v>47</v>
      </c>
      <c r="AX10" s="206">
        <f t="shared" ref="AX10" si="29">AW10+1</f>
        <v>48</v>
      </c>
      <c r="AY10" s="206">
        <f t="shared" ref="AY10" si="30">AX10+1</f>
        <v>49</v>
      </c>
      <c r="AZ10" s="206">
        <f t="shared" ref="AZ10" si="31">AY10+1</f>
        <v>50</v>
      </c>
      <c r="BA10" s="206">
        <f t="shared" ref="BA10" si="32">AZ10+1</f>
        <v>51</v>
      </c>
      <c r="BB10" s="206">
        <f t="shared" ref="BB10" si="33">BA10+1</f>
        <v>52</v>
      </c>
      <c r="BC10" s="206">
        <f t="shared" ref="BC10" si="34">BB10+1</f>
        <v>53</v>
      </c>
      <c r="BD10" s="206">
        <f t="shared" ref="BD10" si="35">BC10+1</f>
        <v>54</v>
      </c>
      <c r="BE10" s="206">
        <f t="shared" ref="BE10" si="36">BD10+1</f>
        <v>55</v>
      </c>
      <c r="BF10" s="206">
        <f t="shared" ref="BF10" si="37">BE10+1</f>
        <v>56</v>
      </c>
      <c r="BG10" s="206">
        <f t="shared" ref="BG10" si="38">BF10+1</f>
        <v>57</v>
      </c>
      <c r="BH10" s="206">
        <f t="shared" ref="BH10" si="39">BG10+1</f>
        <v>58</v>
      </c>
      <c r="BI10" s="206">
        <f t="shared" ref="BI10" si="40">BH10+1</f>
        <v>59</v>
      </c>
      <c r="BJ10" s="206">
        <f t="shared" ref="BJ10" si="41">BI10+1</f>
        <v>60</v>
      </c>
      <c r="BK10" s="206">
        <f t="shared" ref="BK10" si="42">BJ10+1</f>
        <v>61</v>
      </c>
      <c r="BL10" s="206">
        <f t="shared" ref="BL10" si="43">BK10+1</f>
        <v>62</v>
      </c>
      <c r="BM10" s="206">
        <f t="shared" ref="BM10" si="44">BL10+1</f>
        <v>63</v>
      </c>
    </row>
    <row r="11" spans="1:69" ht="15" customHeight="1" x14ac:dyDescent="0.25">
      <c r="A11" s="62" t="s">
        <v>122</v>
      </c>
      <c r="E11" s="55"/>
      <c r="F11" s="55"/>
      <c r="G11" s="55"/>
      <c r="H11" s="55"/>
      <c r="I11" s="55"/>
      <c r="J11" s="55"/>
      <c r="K11" s="55"/>
      <c r="L11" s="55"/>
      <c r="M11" s="55"/>
      <c r="N11" s="55"/>
      <c r="O11" s="55"/>
      <c r="P11" s="55"/>
      <c r="Q11" s="55"/>
      <c r="R11" s="55"/>
      <c r="S11" s="55"/>
      <c r="T11" s="55"/>
      <c r="U11" s="55"/>
      <c r="W11" s="62" t="s">
        <v>122</v>
      </c>
      <c r="X11" s="55"/>
      <c r="Y11" s="55"/>
      <c r="Z11" s="55"/>
      <c r="AA11" s="55"/>
      <c r="AB11" s="55"/>
      <c r="AC11" s="55"/>
      <c r="AD11" s="55"/>
      <c r="AE11" s="55"/>
      <c r="AF11" s="55"/>
      <c r="AG11" s="55"/>
      <c r="AH11" s="55"/>
      <c r="AI11" s="55"/>
      <c r="AJ11" s="55"/>
      <c r="AK11" s="55"/>
      <c r="AL11" s="55"/>
      <c r="AM11" s="55"/>
      <c r="AN11" s="55"/>
      <c r="AO11" s="55"/>
      <c r="AP11" s="55"/>
      <c r="AQ11" s="55"/>
      <c r="AS11" s="62" t="s">
        <v>122</v>
      </c>
      <c r="AT11" s="55"/>
      <c r="AU11" s="55"/>
      <c r="AV11" s="55"/>
      <c r="AW11" s="55"/>
      <c r="AX11" s="55"/>
      <c r="AY11" s="55"/>
      <c r="AZ11" s="55"/>
      <c r="BA11" s="55"/>
      <c r="BB11" s="55"/>
      <c r="BC11" s="55"/>
      <c r="BD11" s="55"/>
      <c r="BE11" s="55"/>
      <c r="BF11" s="55"/>
      <c r="BG11" s="55"/>
      <c r="BH11" s="55"/>
      <c r="BI11" s="55"/>
      <c r="BJ11" s="55"/>
      <c r="BK11" s="55"/>
      <c r="BL11" s="55"/>
      <c r="BM11" s="55"/>
    </row>
    <row r="12" spans="1:69" ht="15" customHeight="1" x14ac:dyDescent="0.25">
      <c r="A12" s="62"/>
      <c r="C12" s="63"/>
      <c r="D12" s="63"/>
      <c r="E12" s="63"/>
      <c r="F12" s="63"/>
      <c r="G12" s="63"/>
      <c r="H12" s="63"/>
      <c r="I12" s="63"/>
      <c r="J12" s="63"/>
      <c r="K12" s="63"/>
      <c r="L12" s="63"/>
      <c r="M12" s="63"/>
      <c r="N12" s="63"/>
      <c r="O12" s="63"/>
      <c r="P12" s="63"/>
      <c r="Q12" s="63"/>
      <c r="R12" s="63"/>
      <c r="S12" s="63"/>
      <c r="T12" s="63"/>
      <c r="U12" s="63"/>
      <c r="W12" s="62"/>
      <c r="X12" s="55"/>
      <c r="Y12" s="63"/>
      <c r="Z12" s="63"/>
      <c r="AA12" s="63"/>
      <c r="AB12" s="63"/>
      <c r="AC12" s="63"/>
      <c r="AD12" s="63"/>
      <c r="AE12" s="63"/>
      <c r="AF12" s="63"/>
      <c r="AG12" s="63"/>
      <c r="AH12" s="63"/>
      <c r="AI12" s="63"/>
      <c r="AJ12" s="63"/>
      <c r="AK12" s="63"/>
      <c r="AL12" s="63"/>
      <c r="AM12" s="63"/>
      <c r="AN12" s="63"/>
      <c r="AO12" s="63"/>
      <c r="AP12" s="63"/>
      <c r="AQ12" s="63"/>
      <c r="AS12" s="62"/>
      <c r="AT12" s="55"/>
      <c r="AU12" s="63"/>
      <c r="AV12" s="63"/>
      <c r="AW12" s="63"/>
      <c r="AX12" s="63"/>
      <c r="AY12" s="63"/>
      <c r="AZ12" s="63"/>
      <c r="BA12" s="63"/>
      <c r="BB12" s="63"/>
      <c r="BC12" s="63"/>
      <c r="BD12" s="63"/>
      <c r="BE12" s="63"/>
      <c r="BF12" s="63"/>
      <c r="BG12" s="63"/>
      <c r="BH12" s="63"/>
      <c r="BI12" s="63"/>
      <c r="BJ12" s="63"/>
      <c r="BK12" s="63"/>
      <c r="BL12" s="63"/>
      <c r="BM12" s="63"/>
    </row>
    <row r="13" spans="1:69" ht="15" customHeight="1" x14ac:dyDescent="0.25">
      <c r="A13" s="95" t="s">
        <v>114</v>
      </c>
      <c r="B13" s="206"/>
      <c r="C13" s="63">
        <v>2200</v>
      </c>
      <c r="D13" s="76">
        <v>-1</v>
      </c>
      <c r="E13" s="76">
        <v>-1.3</v>
      </c>
      <c r="F13" s="76">
        <v>-0.8</v>
      </c>
      <c r="G13" s="63"/>
      <c r="H13" s="63">
        <v>800</v>
      </c>
      <c r="I13" s="76">
        <v>-0.9</v>
      </c>
      <c r="J13" s="76">
        <v>-1.3</v>
      </c>
      <c r="K13" s="76">
        <v>-0.5</v>
      </c>
      <c r="L13" s="63"/>
      <c r="M13" s="63">
        <v>340</v>
      </c>
      <c r="N13" s="76">
        <v>-0.2</v>
      </c>
      <c r="O13" s="76">
        <v>-0.9</v>
      </c>
      <c r="P13" s="76">
        <v>0.5</v>
      </c>
      <c r="Q13" s="63"/>
      <c r="R13" s="63">
        <v>3330</v>
      </c>
      <c r="S13" s="76">
        <v>-0.9</v>
      </c>
      <c r="T13" s="76">
        <v>-1.1000000000000001</v>
      </c>
      <c r="U13" s="76">
        <v>-0.7</v>
      </c>
      <c r="W13" s="95" t="s">
        <v>114</v>
      </c>
      <c r="X13" s="55"/>
      <c r="Y13" s="63">
        <v>1080</v>
      </c>
      <c r="Z13" s="76">
        <v>-1</v>
      </c>
      <c r="AA13" s="76">
        <v>-1.4</v>
      </c>
      <c r="AB13" s="76">
        <v>-0.6</v>
      </c>
      <c r="AC13" s="63"/>
      <c r="AD13" s="63">
        <v>380</v>
      </c>
      <c r="AE13" s="76">
        <v>-0.7</v>
      </c>
      <c r="AF13" s="76">
        <v>-1.4</v>
      </c>
      <c r="AG13" s="76">
        <v>-0.1</v>
      </c>
      <c r="AH13" s="63"/>
      <c r="AI13" s="63">
        <v>150</v>
      </c>
      <c r="AJ13" s="76">
        <v>0.2</v>
      </c>
      <c r="AK13" s="76">
        <v>-0.8</v>
      </c>
      <c r="AL13" s="76">
        <v>1.2</v>
      </c>
      <c r="AM13" s="63"/>
      <c r="AN13" s="63">
        <v>1610</v>
      </c>
      <c r="AO13" s="76">
        <v>-0.8</v>
      </c>
      <c r="AP13" s="76">
        <v>-1.1000000000000001</v>
      </c>
      <c r="AQ13" s="76">
        <v>-0.5</v>
      </c>
      <c r="AS13" s="95" t="s">
        <v>114</v>
      </c>
      <c r="AT13" s="55"/>
      <c r="AU13" s="63">
        <v>1110</v>
      </c>
      <c r="AV13" s="76">
        <v>-1.1000000000000001</v>
      </c>
      <c r="AW13" s="76">
        <v>-1.5</v>
      </c>
      <c r="AX13" s="76">
        <v>-0.7</v>
      </c>
      <c r="AY13" s="63"/>
      <c r="AZ13" s="63">
        <v>430</v>
      </c>
      <c r="BA13" s="76">
        <v>-1</v>
      </c>
      <c r="BB13" s="76">
        <v>-1.6</v>
      </c>
      <c r="BC13" s="76">
        <v>-0.4</v>
      </c>
      <c r="BD13" s="63"/>
      <c r="BE13" s="63">
        <v>190</v>
      </c>
      <c r="BF13" s="76">
        <v>-0.5</v>
      </c>
      <c r="BG13" s="76">
        <v>-1.4</v>
      </c>
      <c r="BH13" s="76">
        <v>0.4</v>
      </c>
      <c r="BI13" s="63"/>
      <c r="BJ13" s="63">
        <v>1720</v>
      </c>
      <c r="BK13" s="76">
        <v>-1</v>
      </c>
      <c r="BL13" s="76">
        <v>-1.3</v>
      </c>
      <c r="BM13" s="76">
        <v>-0.7</v>
      </c>
    </row>
    <row r="14" spans="1:69" ht="15" customHeight="1" x14ac:dyDescent="0.25">
      <c r="A14" s="37"/>
      <c r="B14" s="206"/>
      <c r="C14" s="55"/>
      <c r="D14" s="76"/>
      <c r="E14" s="76"/>
      <c r="F14" s="76"/>
      <c r="G14" s="55"/>
      <c r="H14" s="55"/>
      <c r="I14" s="76"/>
      <c r="J14" s="76"/>
      <c r="K14" s="76"/>
      <c r="L14" s="55"/>
      <c r="M14" s="55"/>
      <c r="N14" s="76"/>
      <c r="O14" s="76"/>
      <c r="P14" s="76"/>
      <c r="Q14" s="55"/>
      <c r="R14" s="55"/>
      <c r="S14" s="76"/>
      <c r="T14" s="76"/>
      <c r="U14" s="76"/>
      <c r="W14" s="37"/>
      <c r="X14" s="55"/>
      <c r="Y14" s="55"/>
      <c r="Z14" s="76"/>
      <c r="AA14" s="76"/>
      <c r="AB14" s="76"/>
      <c r="AC14" s="55"/>
      <c r="AD14" s="55"/>
      <c r="AE14" s="76"/>
      <c r="AF14" s="76"/>
      <c r="AG14" s="76"/>
      <c r="AH14" s="55"/>
      <c r="AI14" s="55"/>
      <c r="AJ14" s="76"/>
      <c r="AK14" s="76"/>
      <c r="AL14" s="76"/>
      <c r="AM14" s="55"/>
      <c r="AN14" s="55"/>
      <c r="AO14" s="76"/>
      <c r="AP14" s="76"/>
      <c r="AQ14" s="76"/>
      <c r="AS14" s="37"/>
      <c r="AT14" s="55"/>
      <c r="AU14" s="55"/>
      <c r="AV14" s="76"/>
      <c r="AW14" s="76"/>
      <c r="AX14" s="76"/>
      <c r="AY14" s="55"/>
      <c r="AZ14" s="55"/>
      <c r="BA14" s="76"/>
      <c r="BB14" s="76"/>
      <c r="BC14" s="76"/>
      <c r="BD14" s="55"/>
      <c r="BE14" s="55"/>
      <c r="BF14" s="76"/>
      <c r="BG14" s="76"/>
      <c r="BH14" s="76"/>
      <c r="BI14" s="55"/>
      <c r="BJ14" s="55"/>
      <c r="BK14" s="76"/>
      <c r="BL14" s="76"/>
      <c r="BM14" s="76"/>
    </row>
    <row r="15" spans="1:69" ht="15" customHeight="1" x14ac:dyDescent="0.25">
      <c r="A15" s="37" t="s">
        <v>115</v>
      </c>
      <c r="B15" s="206"/>
      <c r="C15" s="39">
        <v>2270</v>
      </c>
      <c r="D15" s="207">
        <v>-1.3</v>
      </c>
      <c r="E15" s="207">
        <v>-1.6</v>
      </c>
      <c r="F15" s="207">
        <v>-1.1000000000000001</v>
      </c>
      <c r="G15" s="63"/>
      <c r="H15" s="39">
        <v>820</v>
      </c>
      <c r="I15" s="207">
        <v>-1.1000000000000001</v>
      </c>
      <c r="J15" s="207">
        <v>-1.5</v>
      </c>
      <c r="K15" s="207">
        <v>-0.7</v>
      </c>
      <c r="L15" s="63"/>
      <c r="M15" s="39">
        <v>340</v>
      </c>
      <c r="N15" s="207">
        <v>-0.3</v>
      </c>
      <c r="O15" s="207">
        <v>-1</v>
      </c>
      <c r="P15" s="207">
        <v>0.3</v>
      </c>
      <c r="Q15" s="63"/>
      <c r="R15" s="39">
        <v>3430</v>
      </c>
      <c r="S15" s="207">
        <v>-1.2</v>
      </c>
      <c r="T15" s="207">
        <v>-1.4</v>
      </c>
      <c r="U15" s="207">
        <v>-1</v>
      </c>
      <c r="W15" s="37" t="s">
        <v>115</v>
      </c>
      <c r="X15" s="55"/>
      <c r="Y15" s="39">
        <v>1120</v>
      </c>
      <c r="Z15" s="207">
        <v>-1.3</v>
      </c>
      <c r="AA15" s="207">
        <v>-1.7</v>
      </c>
      <c r="AB15" s="207">
        <v>-1</v>
      </c>
      <c r="AC15" s="63"/>
      <c r="AD15" s="39">
        <v>390</v>
      </c>
      <c r="AE15" s="207">
        <v>-1.1000000000000001</v>
      </c>
      <c r="AF15" s="207">
        <v>-1.7</v>
      </c>
      <c r="AG15" s="207">
        <v>-0.5</v>
      </c>
      <c r="AH15" s="63"/>
      <c r="AI15" s="39">
        <v>160</v>
      </c>
      <c r="AJ15" s="207">
        <v>0.1</v>
      </c>
      <c r="AK15" s="207">
        <v>-0.9</v>
      </c>
      <c r="AL15" s="207">
        <v>1.1000000000000001</v>
      </c>
      <c r="AM15" s="63"/>
      <c r="AN15" s="39">
        <v>1670</v>
      </c>
      <c r="AO15" s="207">
        <v>-1.1000000000000001</v>
      </c>
      <c r="AP15" s="207">
        <v>-1.4</v>
      </c>
      <c r="AQ15" s="207">
        <v>-0.8</v>
      </c>
      <c r="AS15" s="37" t="s">
        <v>115</v>
      </c>
      <c r="AT15" s="55"/>
      <c r="AU15" s="39">
        <v>1140</v>
      </c>
      <c r="AV15" s="207">
        <v>-1.3</v>
      </c>
      <c r="AW15" s="207">
        <v>-1.7</v>
      </c>
      <c r="AX15" s="207">
        <v>-1</v>
      </c>
      <c r="AY15" s="63"/>
      <c r="AZ15" s="39">
        <v>430</v>
      </c>
      <c r="BA15" s="207">
        <v>-1.1000000000000001</v>
      </c>
      <c r="BB15" s="207">
        <v>-1.7</v>
      </c>
      <c r="BC15" s="207">
        <v>-0.5</v>
      </c>
      <c r="BD15" s="63"/>
      <c r="BE15" s="39">
        <v>190</v>
      </c>
      <c r="BF15" s="207">
        <v>-0.7</v>
      </c>
      <c r="BG15" s="207">
        <v>-1.6</v>
      </c>
      <c r="BH15" s="207">
        <v>0.2</v>
      </c>
      <c r="BI15" s="63"/>
      <c r="BJ15" s="39">
        <v>1760</v>
      </c>
      <c r="BK15" s="207">
        <v>-1.2</v>
      </c>
      <c r="BL15" s="207">
        <v>-1.5</v>
      </c>
      <c r="BM15" s="207">
        <v>-0.9</v>
      </c>
    </row>
    <row r="16" spans="1:69" ht="15" customHeight="1" x14ac:dyDescent="0.25">
      <c r="A16" s="66"/>
      <c r="B16" s="206"/>
      <c r="C16" s="63"/>
      <c r="D16" s="76"/>
      <c r="E16" s="76"/>
      <c r="F16" s="76"/>
      <c r="G16" s="63"/>
      <c r="H16" s="63"/>
      <c r="I16" s="76"/>
      <c r="J16" s="76"/>
      <c r="K16" s="76"/>
      <c r="L16" s="63"/>
      <c r="M16" s="63"/>
      <c r="N16" s="76"/>
      <c r="O16" s="76"/>
      <c r="P16" s="76"/>
      <c r="Q16" s="63"/>
      <c r="R16" s="63"/>
      <c r="S16" s="76"/>
      <c r="T16" s="76"/>
      <c r="U16" s="76"/>
      <c r="W16" s="66"/>
      <c r="X16" s="55"/>
      <c r="Y16" s="63"/>
      <c r="Z16" s="76"/>
      <c r="AA16" s="76"/>
      <c r="AB16" s="76"/>
      <c r="AC16" s="63"/>
      <c r="AD16" s="63"/>
      <c r="AE16" s="76"/>
      <c r="AF16" s="76"/>
      <c r="AG16" s="76"/>
      <c r="AH16" s="63"/>
      <c r="AI16" s="63"/>
      <c r="AJ16" s="76"/>
      <c r="AK16" s="76"/>
      <c r="AL16" s="76"/>
      <c r="AM16" s="63"/>
      <c r="AN16" s="63"/>
      <c r="AO16" s="76"/>
      <c r="AP16" s="76"/>
      <c r="AQ16" s="76"/>
      <c r="AS16" s="66"/>
      <c r="AT16" s="55"/>
      <c r="AU16" s="63"/>
      <c r="AV16" s="76"/>
      <c r="AW16" s="76"/>
      <c r="AX16" s="76"/>
      <c r="AY16" s="63"/>
      <c r="AZ16" s="63"/>
      <c r="BA16" s="76"/>
      <c r="BB16" s="76"/>
      <c r="BC16" s="76"/>
      <c r="BD16" s="63"/>
      <c r="BE16" s="63"/>
      <c r="BF16" s="76"/>
      <c r="BG16" s="76"/>
      <c r="BH16" s="76"/>
      <c r="BI16" s="63"/>
      <c r="BJ16" s="63"/>
      <c r="BK16" s="76"/>
      <c r="BL16" s="76"/>
      <c r="BM16" s="76"/>
    </row>
    <row r="17" spans="1:65" ht="15" customHeight="1" x14ac:dyDescent="0.25">
      <c r="A17" s="67" t="s">
        <v>45</v>
      </c>
      <c r="B17" s="206"/>
      <c r="C17" s="39">
        <v>1240</v>
      </c>
      <c r="D17" s="207">
        <v>0</v>
      </c>
      <c r="E17" s="207">
        <v>-0.4</v>
      </c>
      <c r="F17" s="207">
        <v>0.3</v>
      </c>
      <c r="G17" s="63"/>
      <c r="H17" s="39">
        <v>470</v>
      </c>
      <c r="I17" s="207">
        <v>0.1</v>
      </c>
      <c r="J17" s="207">
        <v>-0.5</v>
      </c>
      <c r="K17" s="207">
        <v>0.6</v>
      </c>
      <c r="L17" s="63"/>
      <c r="M17" s="39">
        <v>200</v>
      </c>
      <c r="N17" s="207">
        <v>0.2</v>
      </c>
      <c r="O17" s="207">
        <v>-0.7</v>
      </c>
      <c r="P17" s="207">
        <v>1</v>
      </c>
      <c r="Q17" s="63"/>
      <c r="R17" s="39">
        <v>1910</v>
      </c>
      <c r="S17" s="207">
        <v>0</v>
      </c>
      <c r="T17" s="207">
        <v>-0.3</v>
      </c>
      <c r="U17" s="207">
        <v>0.3</v>
      </c>
      <c r="W17" s="67" t="s">
        <v>45</v>
      </c>
      <c r="X17" s="55"/>
      <c r="Y17" s="39">
        <v>550</v>
      </c>
      <c r="Z17" s="207">
        <v>0</v>
      </c>
      <c r="AA17" s="207">
        <v>-0.6</v>
      </c>
      <c r="AB17" s="207">
        <v>0.5</v>
      </c>
      <c r="AC17" s="63"/>
      <c r="AD17" s="39">
        <v>200</v>
      </c>
      <c r="AE17" s="207">
        <v>0.3</v>
      </c>
      <c r="AF17" s="207">
        <v>-0.6</v>
      </c>
      <c r="AG17" s="207">
        <v>1.2</v>
      </c>
      <c r="AH17" s="63"/>
      <c r="AI17" s="39">
        <v>80</v>
      </c>
      <c r="AJ17" s="207">
        <v>0.1</v>
      </c>
      <c r="AK17" s="207">
        <v>-1.4</v>
      </c>
      <c r="AL17" s="207">
        <v>1.5</v>
      </c>
      <c r="AM17" s="63"/>
      <c r="AN17" s="39">
        <v>820</v>
      </c>
      <c r="AO17" s="207">
        <v>0.1</v>
      </c>
      <c r="AP17" s="207">
        <v>-0.4</v>
      </c>
      <c r="AQ17" s="207">
        <v>0.5</v>
      </c>
      <c r="AS17" s="67" t="s">
        <v>45</v>
      </c>
      <c r="AT17" s="55"/>
      <c r="AU17" s="39">
        <v>690</v>
      </c>
      <c r="AV17" s="207">
        <v>-0.1</v>
      </c>
      <c r="AW17" s="207">
        <v>-0.5</v>
      </c>
      <c r="AX17" s="207">
        <v>0.4</v>
      </c>
      <c r="AY17" s="63"/>
      <c r="AZ17" s="39">
        <v>270</v>
      </c>
      <c r="BA17" s="207">
        <v>-0.1</v>
      </c>
      <c r="BB17" s="207">
        <v>-0.9</v>
      </c>
      <c r="BC17" s="207">
        <v>0.6</v>
      </c>
      <c r="BD17" s="63"/>
      <c r="BE17" s="39">
        <v>130</v>
      </c>
      <c r="BF17" s="207">
        <v>0.3</v>
      </c>
      <c r="BG17" s="207">
        <v>-0.8</v>
      </c>
      <c r="BH17" s="207">
        <v>1.3</v>
      </c>
      <c r="BI17" s="63"/>
      <c r="BJ17" s="39">
        <v>1090</v>
      </c>
      <c r="BK17" s="207">
        <v>0</v>
      </c>
      <c r="BL17" s="207">
        <v>-0.4</v>
      </c>
      <c r="BM17" s="207">
        <v>0.3</v>
      </c>
    </row>
    <row r="18" spans="1:65" ht="15" customHeight="1" x14ac:dyDescent="0.25">
      <c r="A18" s="67"/>
      <c r="B18" s="206"/>
      <c r="C18" s="68"/>
      <c r="D18" s="289"/>
      <c r="E18" s="290"/>
      <c r="F18" s="289"/>
      <c r="G18" s="70"/>
      <c r="H18" s="68"/>
      <c r="I18" s="289"/>
      <c r="J18" s="290"/>
      <c r="K18" s="289"/>
      <c r="L18" s="70"/>
      <c r="M18" s="68"/>
      <c r="N18" s="289"/>
      <c r="O18" s="290"/>
      <c r="P18" s="289"/>
      <c r="Q18" s="70"/>
      <c r="R18" s="68"/>
      <c r="S18" s="289"/>
      <c r="T18" s="290"/>
      <c r="U18" s="289"/>
      <c r="W18" s="67"/>
      <c r="X18" s="55"/>
      <c r="Y18" s="68"/>
      <c r="Z18" s="289"/>
      <c r="AA18" s="290"/>
      <c r="AB18" s="289"/>
      <c r="AC18" s="70"/>
      <c r="AD18" s="68"/>
      <c r="AE18" s="289"/>
      <c r="AF18" s="290"/>
      <c r="AG18" s="289"/>
      <c r="AH18" s="70"/>
      <c r="AI18" s="68"/>
      <c r="AJ18" s="289"/>
      <c r="AK18" s="290"/>
      <c r="AL18" s="289"/>
      <c r="AM18" s="70"/>
      <c r="AN18" s="68"/>
      <c r="AO18" s="289"/>
      <c r="AP18" s="290"/>
      <c r="AQ18" s="289"/>
      <c r="AS18" s="67"/>
      <c r="AT18" s="55"/>
      <c r="AU18" s="68"/>
      <c r="AV18" s="289"/>
      <c r="AW18" s="290"/>
      <c r="AX18" s="289"/>
      <c r="AY18" s="70"/>
      <c r="AZ18" s="68"/>
      <c r="BA18" s="289"/>
      <c r="BB18" s="290"/>
      <c r="BC18" s="289"/>
      <c r="BD18" s="70"/>
      <c r="BE18" s="68"/>
      <c r="BF18" s="289"/>
      <c r="BG18" s="290"/>
      <c r="BH18" s="289"/>
      <c r="BI18" s="70"/>
      <c r="BJ18" s="68"/>
      <c r="BK18" s="289"/>
      <c r="BL18" s="290"/>
      <c r="BM18" s="289"/>
    </row>
    <row r="19" spans="1:65" ht="15" customHeight="1" x14ac:dyDescent="0.25">
      <c r="A19" s="67" t="s">
        <v>75</v>
      </c>
      <c r="B19" s="206"/>
      <c r="C19" s="39">
        <v>1030</v>
      </c>
      <c r="D19" s="207">
        <v>-2.9</v>
      </c>
      <c r="E19" s="207">
        <v>-3.3</v>
      </c>
      <c r="F19" s="207">
        <v>-2.5</v>
      </c>
      <c r="G19" s="63"/>
      <c r="H19" s="39">
        <v>350</v>
      </c>
      <c r="I19" s="207">
        <v>-2.6</v>
      </c>
      <c r="J19" s="207">
        <v>-3.3</v>
      </c>
      <c r="K19" s="207">
        <v>-2</v>
      </c>
      <c r="L19" s="63"/>
      <c r="M19" s="39">
        <v>140</v>
      </c>
      <c r="N19" s="207">
        <v>-1.1000000000000001</v>
      </c>
      <c r="O19" s="207">
        <v>-2.1</v>
      </c>
      <c r="P19" s="207">
        <v>0</v>
      </c>
      <c r="Q19" s="63"/>
      <c r="R19" s="39">
        <v>1520</v>
      </c>
      <c r="S19" s="207">
        <v>-2.7</v>
      </c>
      <c r="T19" s="207">
        <v>-3</v>
      </c>
      <c r="U19" s="207">
        <v>-2.2999999999999998</v>
      </c>
      <c r="W19" s="67" t="s">
        <v>75</v>
      </c>
      <c r="X19" s="55"/>
      <c r="Y19" s="39">
        <v>580</v>
      </c>
      <c r="Z19" s="207">
        <v>-2.6</v>
      </c>
      <c r="AA19" s="207">
        <v>-3.1</v>
      </c>
      <c r="AB19" s="207">
        <v>-2.1</v>
      </c>
      <c r="AC19" s="63"/>
      <c r="AD19" s="39">
        <v>190</v>
      </c>
      <c r="AE19" s="207">
        <v>-2.5</v>
      </c>
      <c r="AF19" s="207">
        <v>-3.4</v>
      </c>
      <c r="AG19" s="207">
        <v>-1.6</v>
      </c>
      <c r="AH19" s="63"/>
      <c r="AI19" s="39">
        <v>80</v>
      </c>
      <c r="AJ19" s="207">
        <v>0.2</v>
      </c>
      <c r="AK19" s="207">
        <v>-1.2</v>
      </c>
      <c r="AL19" s="207">
        <v>1.5</v>
      </c>
      <c r="AM19" s="63"/>
      <c r="AN19" s="39">
        <v>850</v>
      </c>
      <c r="AO19" s="207">
        <v>-2.2999999999999998</v>
      </c>
      <c r="AP19" s="207">
        <v>-2.7</v>
      </c>
      <c r="AQ19" s="207">
        <v>-1.9</v>
      </c>
      <c r="AS19" s="67" t="s">
        <v>75</v>
      </c>
      <c r="AT19" s="55"/>
      <c r="AU19" s="39">
        <v>450</v>
      </c>
      <c r="AV19" s="207">
        <v>-3.3</v>
      </c>
      <c r="AW19" s="207">
        <v>-3.9</v>
      </c>
      <c r="AX19" s="207">
        <v>-2.7</v>
      </c>
      <c r="AY19" s="63"/>
      <c r="AZ19" s="39">
        <v>160</v>
      </c>
      <c r="BA19" s="207">
        <v>-2.8</v>
      </c>
      <c r="BB19" s="207">
        <v>-3.8</v>
      </c>
      <c r="BC19" s="207">
        <v>-1.8</v>
      </c>
      <c r="BD19" s="63"/>
      <c r="BE19" s="39">
        <v>60</v>
      </c>
      <c r="BF19" s="207">
        <v>-2.7</v>
      </c>
      <c r="BG19" s="207">
        <v>-4.3</v>
      </c>
      <c r="BH19" s="207">
        <v>-1.1000000000000001</v>
      </c>
      <c r="BI19" s="63"/>
      <c r="BJ19" s="39">
        <v>670</v>
      </c>
      <c r="BK19" s="207">
        <v>-3.1</v>
      </c>
      <c r="BL19" s="207">
        <v>-3.6</v>
      </c>
      <c r="BM19" s="207">
        <v>-2.6</v>
      </c>
    </row>
    <row r="20" spans="1:65" ht="15" customHeight="1" x14ac:dyDescent="0.25">
      <c r="A20" s="67"/>
      <c r="B20" s="206"/>
      <c r="C20" s="39">
        <v>290</v>
      </c>
      <c r="D20" s="207">
        <v>-5.2</v>
      </c>
      <c r="E20" s="207">
        <v>-6</v>
      </c>
      <c r="F20" s="207">
        <v>-4.5</v>
      </c>
      <c r="G20" s="63"/>
      <c r="H20" s="39">
        <v>70</v>
      </c>
      <c r="I20" s="207">
        <v>-6.1</v>
      </c>
      <c r="J20" s="207">
        <v>-7.6</v>
      </c>
      <c r="K20" s="207">
        <v>-4.5999999999999996</v>
      </c>
      <c r="L20" s="63"/>
      <c r="M20" s="39">
        <v>20</v>
      </c>
      <c r="N20" s="207">
        <v>-4.8</v>
      </c>
      <c r="O20" s="207">
        <v>-7.4</v>
      </c>
      <c r="P20" s="207">
        <v>-2.2999999999999998</v>
      </c>
      <c r="Q20" s="63"/>
      <c r="R20" s="39">
        <v>380</v>
      </c>
      <c r="S20" s="207">
        <v>-5.4</v>
      </c>
      <c r="T20" s="207">
        <v>-6</v>
      </c>
      <c r="U20" s="207">
        <v>-4.7</v>
      </c>
      <c r="W20" s="67"/>
      <c r="X20" s="67" t="s">
        <v>116</v>
      </c>
      <c r="Y20" s="39">
        <v>180</v>
      </c>
      <c r="Z20" s="207">
        <v>-4.8</v>
      </c>
      <c r="AA20" s="207">
        <v>-5.7</v>
      </c>
      <c r="AB20" s="207">
        <v>-3.9</v>
      </c>
      <c r="AC20" s="63"/>
      <c r="AD20" s="39">
        <v>50</v>
      </c>
      <c r="AE20" s="207">
        <v>-6.2</v>
      </c>
      <c r="AF20" s="207">
        <v>-8</v>
      </c>
      <c r="AG20" s="207">
        <v>-4.5</v>
      </c>
      <c r="AH20" s="63"/>
      <c r="AI20" s="39">
        <v>10</v>
      </c>
      <c r="AJ20" s="207">
        <v>-2</v>
      </c>
      <c r="AK20" s="207">
        <v>-5.5</v>
      </c>
      <c r="AL20" s="207">
        <v>1.4</v>
      </c>
      <c r="AM20" s="63"/>
      <c r="AN20" s="39">
        <v>240</v>
      </c>
      <c r="AO20" s="207">
        <v>-4.9000000000000004</v>
      </c>
      <c r="AP20" s="207">
        <v>-5.7</v>
      </c>
      <c r="AQ20" s="207">
        <v>-4.2</v>
      </c>
      <c r="AS20" s="67"/>
      <c r="AT20" s="67" t="s">
        <v>116</v>
      </c>
      <c r="AU20" s="39">
        <v>110</v>
      </c>
      <c r="AV20" s="207">
        <v>-6</v>
      </c>
      <c r="AW20" s="207">
        <v>-7.1</v>
      </c>
      <c r="AX20" s="207">
        <v>-4.8</v>
      </c>
      <c r="AY20" s="63"/>
      <c r="AZ20" s="39">
        <v>20</v>
      </c>
      <c r="BA20" s="207">
        <v>-5.8</v>
      </c>
      <c r="BB20" s="207">
        <v>-8.6</v>
      </c>
      <c r="BC20" s="207">
        <v>-2.9</v>
      </c>
      <c r="BD20" s="63"/>
      <c r="BE20" s="39">
        <v>10</v>
      </c>
      <c r="BF20" s="207">
        <v>-8.4</v>
      </c>
      <c r="BG20" s="207">
        <v>-12.3</v>
      </c>
      <c r="BH20" s="207">
        <v>-4.5</v>
      </c>
      <c r="BI20" s="63"/>
      <c r="BJ20" s="39">
        <v>140</v>
      </c>
      <c r="BK20" s="207">
        <v>-6.1</v>
      </c>
      <c r="BL20" s="207">
        <v>-7.1</v>
      </c>
      <c r="BM20" s="207">
        <v>-5.0999999999999996</v>
      </c>
    </row>
    <row r="21" spans="1:65" ht="15" customHeight="1" x14ac:dyDescent="0.25">
      <c r="A21" s="67"/>
      <c r="B21" s="206"/>
      <c r="C21" s="39">
        <v>740</v>
      </c>
      <c r="D21" s="207">
        <v>-2</v>
      </c>
      <c r="E21" s="207">
        <v>-2.4</v>
      </c>
      <c r="F21" s="207">
        <v>-1.5</v>
      </c>
      <c r="G21" s="63"/>
      <c r="H21" s="39">
        <v>290</v>
      </c>
      <c r="I21" s="207">
        <v>-1.8</v>
      </c>
      <c r="J21" s="207">
        <v>-2.5</v>
      </c>
      <c r="K21" s="207">
        <v>-1.1000000000000001</v>
      </c>
      <c r="L21" s="63"/>
      <c r="M21" s="39">
        <v>120</v>
      </c>
      <c r="N21" s="207">
        <v>-0.3</v>
      </c>
      <c r="O21" s="207">
        <v>-1.4</v>
      </c>
      <c r="P21" s="207">
        <v>0.8</v>
      </c>
      <c r="Q21" s="63"/>
      <c r="R21" s="39">
        <v>1140</v>
      </c>
      <c r="S21" s="207">
        <v>-1.8</v>
      </c>
      <c r="T21" s="207">
        <v>-2.1</v>
      </c>
      <c r="U21" s="207">
        <v>-1.4</v>
      </c>
      <c r="W21" s="67"/>
      <c r="X21" s="67" t="s">
        <v>117</v>
      </c>
      <c r="Y21" s="39">
        <v>400</v>
      </c>
      <c r="Z21" s="207">
        <v>-1.6</v>
      </c>
      <c r="AA21" s="207">
        <v>-2.2000000000000002</v>
      </c>
      <c r="AB21" s="207">
        <v>-1</v>
      </c>
      <c r="AC21" s="63"/>
      <c r="AD21" s="39">
        <v>140</v>
      </c>
      <c r="AE21" s="207">
        <v>-1.2</v>
      </c>
      <c r="AF21" s="207">
        <v>-2.2000000000000002</v>
      </c>
      <c r="AG21" s="207">
        <v>-0.2</v>
      </c>
      <c r="AH21" s="63"/>
      <c r="AI21" s="39">
        <v>70</v>
      </c>
      <c r="AJ21" s="207">
        <v>0.6</v>
      </c>
      <c r="AK21" s="207">
        <v>-0.9</v>
      </c>
      <c r="AL21" s="207">
        <v>2.1</v>
      </c>
      <c r="AM21" s="63"/>
      <c r="AN21" s="39">
        <v>610</v>
      </c>
      <c r="AO21" s="207">
        <v>-1.3</v>
      </c>
      <c r="AP21" s="207">
        <v>-1.8</v>
      </c>
      <c r="AQ21" s="207">
        <v>-0.8</v>
      </c>
      <c r="AS21" s="67"/>
      <c r="AT21" s="67" t="s">
        <v>117</v>
      </c>
      <c r="AU21" s="39">
        <v>340</v>
      </c>
      <c r="AV21" s="207">
        <v>-2.4</v>
      </c>
      <c r="AW21" s="207">
        <v>-3.1</v>
      </c>
      <c r="AX21" s="207">
        <v>-1.8</v>
      </c>
      <c r="AY21" s="63"/>
      <c r="AZ21" s="39">
        <v>140</v>
      </c>
      <c r="BA21" s="207">
        <v>-2.4</v>
      </c>
      <c r="BB21" s="207">
        <v>-3.4</v>
      </c>
      <c r="BC21" s="207">
        <v>-1.4</v>
      </c>
      <c r="BD21" s="63"/>
      <c r="BE21" s="39">
        <v>50</v>
      </c>
      <c r="BF21" s="207">
        <v>-1.5</v>
      </c>
      <c r="BG21" s="207">
        <v>-3.3</v>
      </c>
      <c r="BH21" s="207">
        <v>0.2</v>
      </c>
      <c r="BI21" s="63"/>
      <c r="BJ21" s="39">
        <v>530</v>
      </c>
      <c r="BK21" s="207">
        <v>-2.2999999999999998</v>
      </c>
      <c r="BL21" s="207">
        <v>-2.9</v>
      </c>
      <c r="BM21" s="207">
        <v>-1.8</v>
      </c>
    </row>
    <row r="22" spans="1:65" ht="15" customHeight="1" x14ac:dyDescent="0.25">
      <c r="A22" s="37"/>
      <c r="B22" s="206"/>
      <c r="C22" s="55"/>
      <c r="D22" s="76"/>
      <c r="E22" s="76"/>
      <c r="F22" s="76"/>
      <c r="G22" s="55"/>
      <c r="H22" s="55"/>
      <c r="I22" s="76"/>
      <c r="J22" s="76"/>
      <c r="K22" s="76"/>
      <c r="L22" s="55"/>
      <c r="M22" s="55"/>
      <c r="N22" s="76"/>
      <c r="O22" s="76"/>
      <c r="P22" s="76"/>
      <c r="Q22" s="55"/>
      <c r="R22" s="55"/>
      <c r="S22" s="76"/>
      <c r="T22" s="76"/>
      <c r="U22" s="76"/>
      <c r="W22" s="37"/>
      <c r="X22" s="55"/>
      <c r="Y22" s="55"/>
      <c r="Z22" s="76"/>
      <c r="AA22" s="76"/>
      <c r="AB22" s="76"/>
      <c r="AC22" s="55"/>
      <c r="AD22" s="55"/>
      <c r="AE22" s="76"/>
      <c r="AF22" s="76"/>
      <c r="AG22" s="76"/>
      <c r="AH22" s="55"/>
      <c r="AI22" s="55"/>
      <c r="AJ22" s="76"/>
      <c r="AK22" s="76"/>
      <c r="AL22" s="76"/>
      <c r="AM22" s="55"/>
      <c r="AN22" s="55"/>
      <c r="AO22" s="76"/>
      <c r="AP22" s="76"/>
      <c r="AQ22" s="76"/>
      <c r="AS22" s="37"/>
      <c r="AT22" s="55"/>
      <c r="AU22" s="55"/>
      <c r="AV22" s="76"/>
      <c r="AW22" s="76"/>
      <c r="AX22" s="76"/>
      <c r="AY22" s="55"/>
      <c r="AZ22" s="55"/>
      <c r="BA22" s="76"/>
      <c r="BB22" s="76"/>
      <c r="BC22" s="76"/>
      <c r="BD22" s="55"/>
      <c r="BE22" s="55"/>
      <c r="BF22" s="76"/>
      <c r="BG22" s="76"/>
      <c r="BH22" s="76"/>
      <c r="BI22" s="55"/>
      <c r="BJ22" s="55"/>
      <c r="BK22" s="76"/>
      <c r="BL22" s="76"/>
      <c r="BM22" s="76"/>
    </row>
    <row r="23" spans="1:65" ht="15" customHeight="1" x14ac:dyDescent="0.25">
      <c r="A23" s="62" t="s">
        <v>118</v>
      </c>
      <c r="B23" s="206"/>
      <c r="C23" s="55"/>
      <c r="D23" s="76"/>
      <c r="E23" s="76"/>
      <c r="F23" s="76"/>
      <c r="G23" s="55"/>
      <c r="H23" s="55"/>
      <c r="I23" s="76"/>
      <c r="J23" s="76"/>
      <c r="K23" s="76"/>
      <c r="L23" s="55"/>
      <c r="M23" s="55"/>
      <c r="N23" s="76"/>
      <c r="O23" s="76"/>
      <c r="P23" s="76"/>
      <c r="Q23" s="55"/>
      <c r="R23" s="55"/>
      <c r="S23" s="76"/>
      <c r="T23" s="76"/>
      <c r="U23" s="76"/>
      <c r="W23" s="62" t="s">
        <v>118</v>
      </c>
      <c r="X23" s="55"/>
      <c r="Y23" s="55"/>
      <c r="Z23" s="76"/>
      <c r="AA23" s="76"/>
      <c r="AB23" s="76"/>
      <c r="AC23" s="55"/>
      <c r="AD23" s="55"/>
      <c r="AE23" s="76"/>
      <c r="AF23" s="76"/>
      <c r="AG23" s="76"/>
      <c r="AH23" s="55"/>
      <c r="AI23" s="55"/>
      <c r="AJ23" s="76"/>
      <c r="AK23" s="76"/>
      <c r="AL23" s="76"/>
      <c r="AM23" s="55"/>
      <c r="AN23" s="55"/>
      <c r="AO23" s="76"/>
      <c r="AP23" s="76"/>
      <c r="AQ23" s="76"/>
      <c r="AS23" s="62" t="s">
        <v>118</v>
      </c>
      <c r="AT23" s="55"/>
      <c r="AU23" s="55"/>
      <c r="AV23" s="76"/>
      <c r="AW23" s="76"/>
      <c r="AX23" s="76"/>
      <c r="AY23" s="55"/>
      <c r="AZ23" s="55"/>
      <c r="BA23" s="76"/>
      <c r="BB23" s="76"/>
      <c r="BC23" s="76"/>
      <c r="BD23" s="55"/>
      <c r="BE23" s="55"/>
      <c r="BF23" s="76"/>
      <c r="BG23" s="76"/>
      <c r="BH23" s="76"/>
      <c r="BI23" s="55"/>
      <c r="BJ23" s="55"/>
      <c r="BK23" s="76"/>
      <c r="BL23" s="76"/>
      <c r="BM23" s="76"/>
    </row>
    <row r="24" spans="1:65" ht="15" customHeight="1" x14ac:dyDescent="0.25">
      <c r="A24" s="37"/>
      <c r="B24" s="206"/>
      <c r="C24" s="55"/>
      <c r="D24" s="76"/>
      <c r="E24" s="76"/>
      <c r="F24" s="76"/>
      <c r="G24" s="55"/>
      <c r="H24" s="55"/>
      <c r="I24" s="76"/>
      <c r="J24" s="76"/>
      <c r="K24" s="76"/>
      <c r="L24" s="55"/>
      <c r="M24" s="55"/>
      <c r="N24" s="76"/>
      <c r="O24" s="76"/>
      <c r="P24" s="76"/>
      <c r="Q24" s="55"/>
      <c r="R24" s="55"/>
      <c r="S24" s="76"/>
      <c r="T24" s="76"/>
      <c r="U24" s="76"/>
      <c r="W24" s="37"/>
      <c r="X24" s="55"/>
      <c r="Y24" s="55"/>
      <c r="Z24" s="76"/>
      <c r="AA24" s="76"/>
      <c r="AB24" s="76"/>
      <c r="AC24" s="55"/>
      <c r="AD24" s="55"/>
      <c r="AE24" s="76"/>
      <c r="AF24" s="76"/>
      <c r="AG24" s="76"/>
      <c r="AH24" s="55"/>
      <c r="AI24" s="55"/>
      <c r="AJ24" s="76"/>
      <c r="AK24" s="76"/>
      <c r="AL24" s="76"/>
      <c r="AM24" s="55"/>
      <c r="AN24" s="55"/>
      <c r="AO24" s="76"/>
      <c r="AP24" s="76"/>
      <c r="AQ24" s="76"/>
      <c r="AS24" s="37"/>
      <c r="AT24" s="55"/>
      <c r="AU24" s="55"/>
      <c r="AV24" s="76"/>
      <c r="AW24" s="76"/>
      <c r="AX24" s="76"/>
      <c r="AY24" s="55"/>
      <c r="AZ24" s="55"/>
      <c r="BA24" s="76"/>
      <c r="BB24" s="76"/>
      <c r="BC24" s="76"/>
      <c r="BD24" s="55"/>
      <c r="BE24" s="55"/>
      <c r="BF24" s="76"/>
      <c r="BG24" s="76"/>
      <c r="BH24" s="76"/>
      <c r="BI24" s="55"/>
      <c r="BJ24" s="55"/>
      <c r="BK24" s="76"/>
      <c r="BL24" s="76"/>
      <c r="BM24" s="76"/>
    </row>
    <row r="25" spans="1:65" ht="15" customHeight="1" x14ac:dyDescent="0.25">
      <c r="A25" s="95" t="s">
        <v>114</v>
      </c>
      <c r="B25" s="206"/>
      <c r="C25" s="63">
        <v>2230</v>
      </c>
      <c r="D25" s="76">
        <v>-2.5</v>
      </c>
      <c r="E25" s="76">
        <v>-2.7</v>
      </c>
      <c r="F25" s="76">
        <v>-2.2000000000000002</v>
      </c>
      <c r="G25" s="63"/>
      <c r="H25" s="63">
        <v>820</v>
      </c>
      <c r="I25" s="76">
        <v>-1.1000000000000001</v>
      </c>
      <c r="J25" s="76">
        <v>-1.6</v>
      </c>
      <c r="K25" s="76">
        <v>-0.7</v>
      </c>
      <c r="L25" s="63"/>
      <c r="M25" s="63">
        <v>350</v>
      </c>
      <c r="N25" s="76">
        <v>-0.6</v>
      </c>
      <c r="O25" s="76">
        <v>-1.3</v>
      </c>
      <c r="P25" s="76">
        <v>0.1</v>
      </c>
      <c r="Q25" s="63"/>
      <c r="R25" s="63">
        <v>3400</v>
      </c>
      <c r="S25" s="76">
        <v>-2</v>
      </c>
      <c r="T25" s="76">
        <v>-2.2000000000000002</v>
      </c>
      <c r="U25" s="76">
        <v>-1.7</v>
      </c>
      <c r="W25" s="95" t="s">
        <v>114</v>
      </c>
      <c r="X25" s="37"/>
      <c r="Y25" s="63">
        <v>1100</v>
      </c>
      <c r="Z25" s="76">
        <v>-3.3</v>
      </c>
      <c r="AA25" s="76">
        <v>-3.6</v>
      </c>
      <c r="AB25" s="76">
        <v>-2.9</v>
      </c>
      <c r="AC25" s="63"/>
      <c r="AD25" s="63">
        <v>390</v>
      </c>
      <c r="AE25" s="76">
        <v>-1.6</v>
      </c>
      <c r="AF25" s="76">
        <v>-2.2000000000000002</v>
      </c>
      <c r="AG25" s="76">
        <v>-1</v>
      </c>
      <c r="AH25" s="63"/>
      <c r="AI25" s="63">
        <v>160</v>
      </c>
      <c r="AJ25" s="76">
        <v>-1.6</v>
      </c>
      <c r="AK25" s="76">
        <v>-2.6</v>
      </c>
      <c r="AL25" s="76">
        <v>-0.6</v>
      </c>
      <c r="AM25" s="63"/>
      <c r="AN25" s="63">
        <v>1650</v>
      </c>
      <c r="AO25" s="76">
        <v>-2.7</v>
      </c>
      <c r="AP25" s="76">
        <v>-3</v>
      </c>
      <c r="AQ25" s="76">
        <v>-2.4</v>
      </c>
      <c r="AS25" s="95" t="s">
        <v>114</v>
      </c>
      <c r="AT25" s="37"/>
      <c r="AU25" s="63">
        <v>1130</v>
      </c>
      <c r="AV25" s="76">
        <v>-1.7</v>
      </c>
      <c r="AW25" s="76">
        <v>-2</v>
      </c>
      <c r="AX25" s="76">
        <v>-1.3</v>
      </c>
      <c r="AY25" s="63"/>
      <c r="AZ25" s="63">
        <v>430</v>
      </c>
      <c r="BA25" s="76">
        <v>-0.7</v>
      </c>
      <c r="BB25" s="76">
        <v>-1.3</v>
      </c>
      <c r="BC25" s="76">
        <v>-0.1</v>
      </c>
      <c r="BD25" s="63"/>
      <c r="BE25" s="63">
        <v>190</v>
      </c>
      <c r="BF25" s="76">
        <v>0.3</v>
      </c>
      <c r="BG25" s="76">
        <v>-0.6</v>
      </c>
      <c r="BH25" s="76">
        <v>1.2</v>
      </c>
      <c r="BI25" s="63"/>
      <c r="BJ25" s="63">
        <v>1750</v>
      </c>
      <c r="BK25" s="76">
        <v>-1.2</v>
      </c>
      <c r="BL25" s="76">
        <v>-1.5</v>
      </c>
      <c r="BM25" s="76">
        <v>-0.9</v>
      </c>
    </row>
    <row r="26" spans="1:65" ht="15" customHeight="1" x14ac:dyDescent="0.25">
      <c r="A26" s="37"/>
      <c r="B26" s="206"/>
      <c r="C26" s="63"/>
      <c r="D26" s="76"/>
      <c r="E26" s="76"/>
      <c r="F26" s="76"/>
      <c r="G26" s="63"/>
      <c r="H26" s="63"/>
      <c r="I26" s="76"/>
      <c r="J26" s="76"/>
      <c r="K26" s="76"/>
      <c r="L26" s="63"/>
      <c r="M26" s="63"/>
      <c r="N26" s="76"/>
      <c r="O26" s="76"/>
      <c r="P26" s="76"/>
      <c r="Q26" s="63"/>
      <c r="R26" s="63"/>
      <c r="S26" s="76"/>
      <c r="T26" s="76"/>
      <c r="U26" s="76"/>
      <c r="W26" s="37"/>
      <c r="X26" s="55"/>
      <c r="Y26" s="63"/>
      <c r="Z26" s="76"/>
      <c r="AA26" s="76"/>
      <c r="AB26" s="76"/>
      <c r="AC26" s="63"/>
      <c r="AD26" s="63"/>
      <c r="AE26" s="76"/>
      <c r="AF26" s="76"/>
      <c r="AG26" s="76"/>
      <c r="AH26" s="63"/>
      <c r="AI26" s="63"/>
      <c r="AJ26" s="76"/>
      <c r="AK26" s="76"/>
      <c r="AL26" s="76"/>
      <c r="AM26" s="63"/>
      <c r="AN26" s="63"/>
      <c r="AO26" s="76"/>
      <c r="AP26" s="76"/>
      <c r="AQ26" s="76"/>
      <c r="AS26" s="37"/>
      <c r="AT26" s="55"/>
      <c r="AU26" s="63"/>
      <c r="AV26" s="76"/>
      <c r="AW26" s="76"/>
      <c r="AX26" s="76"/>
      <c r="AY26" s="63"/>
      <c r="AZ26" s="63"/>
      <c r="BA26" s="76"/>
      <c r="BB26" s="76"/>
      <c r="BC26" s="76"/>
      <c r="BD26" s="63"/>
      <c r="BE26" s="63"/>
      <c r="BF26" s="76"/>
      <c r="BG26" s="76"/>
      <c r="BH26" s="76"/>
      <c r="BI26" s="63"/>
      <c r="BJ26" s="63"/>
      <c r="BK26" s="76"/>
      <c r="BL26" s="76"/>
      <c r="BM26" s="76"/>
    </row>
    <row r="27" spans="1:65" ht="15" customHeight="1" x14ac:dyDescent="0.25">
      <c r="A27" s="37" t="s">
        <v>115</v>
      </c>
      <c r="B27" s="206"/>
      <c r="C27" s="39">
        <v>2310</v>
      </c>
      <c r="D27" s="207">
        <v>-2.7</v>
      </c>
      <c r="E27" s="207">
        <v>-3</v>
      </c>
      <c r="F27" s="207">
        <v>-2.5</v>
      </c>
      <c r="G27" s="63"/>
      <c r="H27" s="39">
        <v>840</v>
      </c>
      <c r="I27" s="207">
        <v>-1.3</v>
      </c>
      <c r="J27" s="207">
        <v>-1.7</v>
      </c>
      <c r="K27" s="207">
        <v>-0.9</v>
      </c>
      <c r="L27" s="63"/>
      <c r="M27" s="39">
        <v>350</v>
      </c>
      <c r="N27" s="207">
        <v>-0.7</v>
      </c>
      <c r="O27" s="207">
        <v>-1.4</v>
      </c>
      <c r="P27" s="207">
        <v>-0.1</v>
      </c>
      <c r="Q27" s="63"/>
      <c r="R27" s="39">
        <v>3500</v>
      </c>
      <c r="S27" s="207">
        <v>-2.2000000000000002</v>
      </c>
      <c r="T27" s="207">
        <v>-2.4</v>
      </c>
      <c r="U27" s="207">
        <v>-2</v>
      </c>
      <c r="W27" s="37" t="s">
        <v>115</v>
      </c>
      <c r="X27" s="55"/>
      <c r="Y27" s="39">
        <v>1140</v>
      </c>
      <c r="Z27" s="207">
        <v>-3.5</v>
      </c>
      <c r="AA27" s="207">
        <v>-3.9</v>
      </c>
      <c r="AB27" s="207">
        <v>-3.2</v>
      </c>
      <c r="AC27" s="63"/>
      <c r="AD27" s="39">
        <v>400</v>
      </c>
      <c r="AE27" s="207">
        <v>-1.8</v>
      </c>
      <c r="AF27" s="207">
        <v>-2.4</v>
      </c>
      <c r="AG27" s="207">
        <v>-1.2</v>
      </c>
      <c r="AH27" s="63"/>
      <c r="AI27" s="39">
        <v>160</v>
      </c>
      <c r="AJ27" s="207">
        <v>-1.7</v>
      </c>
      <c r="AK27" s="207">
        <v>-2.7</v>
      </c>
      <c r="AL27" s="207">
        <v>-0.7</v>
      </c>
      <c r="AM27" s="63"/>
      <c r="AN27" s="39">
        <v>1710</v>
      </c>
      <c r="AO27" s="207">
        <v>-3</v>
      </c>
      <c r="AP27" s="207">
        <v>-3.3</v>
      </c>
      <c r="AQ27" s="207">
        <v>-2.7</v>
      </c>
      <c r="AS27" s="37" t="s">
        <v>115</v>
      </c>
      <c r="AT27" s="55"/>
      <c r="AU27" s="39">
        <v>1160</v>
      </c>
      <c r="AV27" s="207">
        <v>-1.9</v>
      </c>
      <c r="AW27" s="207">
        <v>-2.2999999999999998</v>
      </c>
      <c r="AX27" s="207">
        <v>-1.5</v>
      </c>
      <c r="AY27" s="63"/>
      <c r="AZ27" s="39">
        <v>440</v>
      </c>
      <c r="BA27" s="207">
        <v>-0.8</v>
      </c>
      <c r="BB27" s="207">
        <v>-1.4</v>
      </c>
      <c r="BC27" s="207">
        <v>-0.2</v>
      </c>
      <c r="BD27" s="63"/>
      <c r="BE27" s="39">
        <v>190</v>
      </c>
      <c r="BF27" s="207">
        <v>0.1</v>
      </c>
      <c r="BG27" s="207">
        <v>-0.8</v>
      </c>
      <c r="BH27" s="207">
        <v>1</v>
      </c>
      <c r="BI27" s="63"/>
      <c r="BJ27" s="39">
        <v>1790</v>
      </c>
      <c r="BK27" s="207">
        <v>-1.4</v>
      </c>
      <c r="BL27" s="207">
        <v>-1.7</v>
      </c>
      <c r="BM27" s="207">
        <v>-1.1000000000000001</v>
      </c>
    </row>
    <row r="28" spans="1:65" ht="15" customHeight="1" x14ac:dyDescent="0.25">
      <c r="A28" s="66"/>
      <c r="B28" s="206"/>
      <c r="C28" s="63"/>
      <c r="D28" s="76"/>
      <c r="E28" s="76"/>
      <c r="F28" s="76"/>
      <c r="G28" s="63"/>
      <c r="H28" s="63"/>
      <c r="I28" s="76"/>
      <c r="J28" s="76"/>
      <c r="K28" s="76"/>
      <c r="L28" s="63"/>
      <c r="M28" s="63"/>
      <c r="N28" s="76"/>
      <c r="O28" s="76"/>
      <c r="P28" s="76"/>
      <c r="Q28" s="63"/>
      <c r="R28" s="63"/>
      <c r="S28" s="76"/>
      <c r="T28" s="76"/>
      <c r="U28" s="76"/>
      <c r="W28" s="66"/>
      <c r="X28" s="55"/>
      <c r="Y28" s="63"/>
      <c r="Z28" s="76"/>
      <c r="AA28" s="76"/>
      <c r="AB28" s="76"/>
      <c r="AC28" s="63"/>
      <c r="AD28" s="63"/>
      <c r="AE28" s="76"/>
      <c r="AF28" s="76"/>
      <c r="AG28" s="76"/>
      <c r="AH28" s="63"/>
      <c r="AI28" s="63"/>
      <c r="AJ28" s="76"/>
      <c r="AK28" s="76"/>
      <c r="AL28" s="76"/>
      <c r="AM28" s="63"/>
      <c r="AN28" s="63"/>
      <c r="AO28" s="76"/>
      <c r="AP28" s="76"/>
      <c r="AQ28" s="76"/>
      <c r="AS28" s="66"/>
      <c r="AT28" s="55"/>
      <c r="AU28" s="63"/>
      <c r="AV28" s="76"/>
      <c r="AW28" s="76"/>
      <c r="AX28" s="76"/>
      <c r="AY28" s="63"/>
      <c r="AZ28" s="63"/>
      <c r="BA28" s="76"/>
      <c r="BB28" s="76"/>
      <c r="BC28" s="76"/>
      <c r="BD28" s="63"/>
      <c r="BE28" s="63"/>
      <c r="BF28" s="76"/>
      <c r="BG28" s="76"/>
      <c r="BH28" s="76"/>
      <c r="BI28" s="63"/>
      <c r="BJ28" s="63"/>
      <c r="BK28" s="76"/>
      <c r="BL28" s="76"/>
      <c r="BM28" s="76"/>
    </row>
    <row r="29" spans="1:65" ht="15" customHeight="1" x14ac:dyDescent="0.25">
      <c r="A29" s="67" t="s">
        <v>45</v>
      </c>
      <c r="B29" s="206"/>
      <c r="C29" s="39">
        <v>1240</v>
      </c>
      <c r="D29" s="207">
        <v>-1</v>
      </c>
      <c r="E29" s="207">
        <v>-1.3</v>
      </c>
      <c r="F29" s="207">
        <v>-0.6</v>
      </c>
      <c r="G29" s="63"/>
      <c r="H29" s="39">
        <v>470</v>
      </c>
      <c r="I29" s="207">
        <v>0.1</v>
      </c>
      <c r="J29" s="207">
        <v>-0.5</v>
      </c>
      <c r="K29" s="207">
        <v>0.7</v>
      </c>
      <c r="L29" s="63"/>
      <c r="M29" s="39">
        <v>200</v>
      </c>
      <c r="N29" s="207">
        <v>0.9</v>
      </c>
      <c r="O29" s="207">
        <v>0</v>
      </c>
      <c r="P29" s="207">
        <v>1.8</v>
      </c>
      <c r="Q29" s="63"/>
      <c r="R29" s="39">
        <v>1920</v>
      </c>
      <c r="S29" s="207">
        <v>-0.5</v>
      </c>
      <c r="T29" s="207">
        <v>-0.8</v>
      </c>
      <c r="U29" s="207">
        <v>-0.2</v>
      </c>
      <c r="W29" s="67" t="s">
        <v>45</v>
      </c>
      <c r="X29" s="55"/>
      <c r="Y29" s="39">
        <v>550</v>
      </c>
      <c r="Z29" s="207">
        <v>-1.8</v>
      </c>
      <c r="AA29" s="207">
        <v>-2.2999999999999998</v>
      </c>
      <c r="AB29" s="207">
        <v>-1.3</v>
      </c>
      <c r="AC29" s="63"/>
      <c r="AD29" s="39">
        <v>200</v>
      </c>
      <c r="AE29" s="207">
        <v>-0.5</v>
      </c>
      <c r="AF29" s="207">
        <v>-1.3</v>
      </c>
      <c r="AG29" s="207">
        <v>0.4</v>
      </c>
      <c r="AH29" s="63"/>
      <c r="AI29" s="39">
        <v>80</v>
      </c>
      <c r="AJ29" s="207">
        <v>-0.5</v>
      </c>
      <c r="AK29" s="207">
        <v>-1.9</v>
      </c>
      <c r="AL29" s="207">
        <v>0.9</v>
      </c>
      <c r="AM29" s="63"/>
      <c r="AN29" s="39">
        <v>820</v>
      </c>
      <c r="AO29" s="207">
        <v>-1.3</v>
      </c>
      <c r="AP29" s="207">
        <v>-1.8</v>
      </c>
      <c r="AQ29" s="207">
        <v>-0.9</v>
      </c>
      <c r="AS29" s="67" t="s">
        <v>45</v>
      </c>
      <c r="AT29" s="55"/>
      <c r="AU29" s="39">
        <v>700</v>
      </c>
      <c r="AV29" s="207">
        <v>-0.3</v>
      </c>
      <c r="AW29" s="207">
        <v>-0.8</v>
      </c>
      <c r="AX29" s="207">
        <v>0.1</v>
      </c>
      <c r="AY29" s="63"/>
      <c r="AZ29" s="39">
        <v>270</v>
      </c>
      <c r="BA29" s="207">
        <v>0.5</v>
      </c>
      <c r="BB29" s="207">
        <v>-0.3</v>
      </c>
      <c r="BC29" s="207">
        <v>1.2</v>
      </c>
      <c r="BD29" s="63"/>
      <c r="BE29" s="39">
        <v>130</v>
      </c>
      <c r="BF29" s="207">
        <v>1.7</v>
      </c>
      <c r="BG29" s="207">
        <v>0.6</v>
      </c>
      <c r="BH29" s="207">
        <v>2.8</v>
      </c>
      <c r="BI29" s="63"/>
      <c r="BJ29" s="39">
        <v>1100</v>
      </c>
      <c r="BK29" s="207">
        <v>0.1</v>
      </c>
      <c r="BL29" s="207">
        <v>-0.3</v>
      </c>
      <c r="BM29" s="207">
        <v>0.5</v>
      </c>
    </row>
    <row r="30" spans="1:65" ht="15" customHeight="1" x14ac:dyDescent="0.25">
      <c r="A30" s="67"/>
      <c r="B30" s="206"/>
      <c r="C30" s="68"/>
      <c r="D30" s="289"/>
      <c r="E30" s="290"/>
      <c r="F30" s="289"/>
      <c r="G30" s="70"/>
      <c r="H30" s="68"/>
      <c r="I30" s="289"/>
      <c r="J30" s="290"/>
      <c r="K30" s="289"/>
      <c r="L30" s="70"/>
      <c r="M30" s="68"/>
      <c r="N30" s="289"/>
      <c r="O30" s="290"/>
      <c r="P30" s="289"/>
      <c r="Q30" s="70"/>
      <c r="R30" s="68"/>
      <c r="S30" s="289"/>
      <c r="T30" s="290"/>
      <c r="U30" s="289"/>
      <c r="W30" s="67"/>
      <c r="X30" s="55"/>
      <c r="Y30" s="68"/>
      <c r="Z30" s="289"/>
      <c r="AA30" s="290"/>
      <c r="AB30" s="289"/>
      <c r="AC30" s="70"/>
      <c r="AD30" s="68"/>
      <c r="AE30" s="289"/>
      <c r="AF30" s="290"/>
      <c r="AG30" s="289"/>
      <c r="AH30" s="70"/>
      <c r="AI30" s="68"/>
      <c r="AJ30" s="289"/>
      <c r="AK30" s="290"/>
      <c r="AL30" s="289"/>
      <c r="AM30" s="70"/>
      <c r="AN30" s="68"/>
      <c r="AO30" s="289"/>
      <c r="AP30" s="290"/>
      <c r="AQ30" s="289"/>
      <c r="AS30" s="67"/>
      <c r="AT30" s="55"/>
      <c r="AU30" s="68"/>
      <c r="AV30" s="289"/>
      <c r="AW30" s="290"/>
      <c r="AX30" s="289"/>
      <c r="AY30" s="70"/>
      <c r="AZ30" s="68"/>
      <c r="BA30" s="289"/>
      <c r="BB30" s="290"/>
      <c r="BC30" s="289"/>
      <c r="BD30" s="70"/>
      <c r="BE30" s="68"/>
      <c r="BF30" s="289"/>
      <c r="BG30" s="290"/>
      <c r="BH30" s="289"/>
      <c r="BI30" s="70"/>
      <c r="BJ30" s="68"/>
      <c r="BK30" s="289"/>
      <c r="BL30" s="290"/>
      <c r="BM30" s="289"/>
    </row>
    <row r="31" spans="1:65" ht="15" customHeight="1" x14ac:dyDescent="0.25">
      <c r="A31" s="67" t="s">
        <v>75</v>
      </c>
      <c r="B31" s="206"/>
      <c r="C31" s="39">
        <v>1060</v>
      </c>
      <c r="D31" s="207">
        <v>-4.8</v>
      </c>
      <c r="E31" s="207">
        <v>-5.0999999999999996</v>
      </c>
      <c r="F31" s="207">
        <v>-4.4000000000000004</v>
      </c>
      <c r="G31" s="63"/>
      <c r="H31" s="39">
        <v>370</v>
      </c>
      <c r="I31" s="207">
        <v>-3</v>
      </c>
      <c r="J31" s="207">
        <v>-3.6</v>
      </c>
      <c r="K31" s="207">
        <v>-2.2999999999999998</v>
      </c>
      <c r="L31" s="63"/>
      <c r="M31" s="39">
        <v>150</v>
      </c>
      <c r="N31" s="207">
        <v>-2.9</v>
      </c>
      <c r="O31" s="207">
        <v>-3.9</v>
      </c>
      <c r="P31" s="207">
        <v>-1.9</v>
      </c>
      <c r="Q31" s="63"/>
      <c r="R31" s="39">
        <v>1590</v>
      </c>
      <c r="S31" s="207">
        <v>-4.2</v>
      </c>
      <c r="T31" s="207">
        <v>-4.5</v>
      </c>
      <c r="U31" s="207">
        <v>-3.9</v>
      </c>
      <c r="W31" s="67" t="s">
        <v>75</v>
      </c>
      <c r="X31" s="55"/>
      <c r="Y31" s="39">
        <v>600</v>
      </c>
      <c r="Z31" s="207">
        <v>-5.0999999999999996</v>
      </c>
      <c r="AA31" s="207">
        <v>-5.6</v>
      </c>
      <c r="AB31" s="207">
        <v>-4.5999999999999996</v>
      </c>
      <c r="AC31" s="63"/>
      <c r="AD31" s="39">
        <v>210</v>
      </c>
      <c r="AE31" s="207">
        <v>-3.1</v>
      </c>
      <c r="AF31" s="207">
        <v>-4</v>
      </c>
      <c r="AG31" s="207">
        <v>-2.2999999999999998</v>
      </c>
      <c r="AH31" s="63"/>
      <c r="AI31" s="39">
        <v>90</v>
      </c>
      <c r="AJ31" s="207">
        <v>-2.7</v>
      </c>
      <c r="AK31" s="207">
        <v>-4</v>
      </c>
      <c r="AL31" s="207">
        <v>-1.4</v>
      </c>
      <c r="AM31" s="63"/>
      <c r="AN31" s="39">
        <v>890</v>
      </c>
      <c r="AO31" s="207">
        <v>-4.4000000000000004</v>
      </c>
      <c r="AP31" s="207">
        <v>-4.9000000000000004</v>
      </c>
      <c r="AQ31" s="207">
        <v>-4</v>
      </c>
      <c r="AS31" s="67" t="s">
        <v>75</v>
      </c>
      <c r="AT31" s="55"/>
      <c r="AU31" s="39">
        <v>470</v>
      </c>
      <c r="AV31" s="207">
        <v>-4.3</v>
      </c>
      <c r="AW31" s="207">
        <v>-4.8</v>
      </c>
      <c r="AX31" s="207">
        <v>-3.7</v>
      </c>
      <c r="AY31" s="63"/>
      <c r="AZ31" s="39">
        <v>170</v>
      </c>
      <c r="BA31" s="207">
        <v>-2.8</v>
      </c>
      <c r="BB31" s="207">
        <v>-3.7</v>
      </c>
      <c r="BC31" s="207">
        <v>-1.8</v>
      </c>
      <c r="BD31" s="63"/>
      <c r="BE31" s="39">
        <v>60</v>
      </c>
      <c r="BF31" s="207">
        <v>-3.2</v>
      </c>
      <c r="BG31" s="207">
        <v>-4.8</v>
      </c>
      <c r="BH31" s="207">
        <v>-1.7</v>
      </c>
      <c r="BI31" s="63"/>
      <c r="BJ31" s="39">
        <v>700</v>
      </c>
      <c r="BK31" s="207">
        <v>-3.8</v>
      </c>
      <c r="BL31" s="207">
        <v>-4.3</v>
      </c>
      <c r="BM31" s="207">
        <v>-3.3</v>
      </c>
    </row>
    <row r="32" spans="1:65" ht="15" customHeight="1" x14ac:dyDescent="0.25">
      <c r="A32" s="67"/>
      <c r="B32" s="206"/>
      <c r="C32" s="39">
        <v>300</v>
      </c>
      <c r="D32" s="207">
        <v>-7</v>
      </c>
      <c r="E32" s="207">
        <v>-7.7</v>
      </c>
      <c r="F32" s="207">
        <v>-6.3</v>
      </c>
      <c r="G32" s="63"/>
      <c r="H32" s="39">
        <v>80</v>
      </c>
      <c r="I32" s="207">
        <v>-5.4</v>
      </c>
      <c r="J32" s="207">
        <v>-6.8</v>
      </c>
      <c r="K32" s="207">
        <v>-3.9</v>
      </c>
      <c r="L32" s="63"/>
      <c r="M32" s="39">
        <v>30</v>
      </c>
      <c r="N32" s="207">
        <v>-6.4</v>
      </c>
      <c r="O32" s="207">
        <v>-8.9</v>
      </c>
      <c r="P32" s="207">
        <v>-4</v>
      </c>
      <c r="Q32" s="63"/>
      <c r="R32" s="39">
        <v>400</v>
      </c>
      <c r="S32" s="207">
        <v>-6.6</v>
      </c>
      <c r="T32" s="207">
        <v>-7.3</v>
      </c>
      <c r="U32" s="207">
        <v>-6</v>
      </c>
      <c r="W32" s="67"/>
      <c r="X32" s="67" t="s">
        <v>116</v>
      </c>
      <c r="Y32" s="39">
        <v>190</v>
      </c>
      <c r="Z32" s="207">
        <v>-7.2</v>
      </c>
      <c r="AA32" s="207">
        <v>-8.1</v>
      </c>
      <c r="AB32" s="207">
        <v>-6.3</v>
      </c>
      <c r="AC32" s="63"/>
      <c r="AD32" s="39">
        <v>50</v>
      </c>
      <c r="AE32" s="207">
        <v>-5.4</v>
      </c>
      <c r="AF32" s="207">
        <v>-7.1</v>
      </c>
      <c r="AG32" s="207">
        <v>-3.7</v>
      </c>
      <c r="AH32" s="63"/>
      <c r="AI32" s="39">
        <v>10</v>
      </c>
      <c r="AJ32" s="207">
        <v>-8.1</v>
      </c>
      <c r="AK32" s="207">
        <v>-11.4</v>
      </c>
      <c r="AL32" s="207">
        <v>-4.8</v>
      </c>
      <c r="AM32" s="63"/>
      <c r="AN32" s="39">
        <v>260</v>
      </c>
      <c r="AO32" s="207">
        <v>-6.9</v>
      </c>
      <c r="AP32" s="207">
        <v>-7.6</v>
      </c>
      <c r="AQ32" s="207">
        <v>-6.1</v>
      </c>
      <c r="AS32" s="67"/>
      <c r="AT32" s="67" t="s">
        <v>116</v>
      </c>
      <c r="AU32" s="39">
        <v>120</v>
      </c>
      <c r="AV32" s="207">
        <v>-6.6</v>
      </c>
      <c r="AW32" s="207">
        <v>-7.7</v>
      </c>
      <c r="AX32" s="207">
        <v>-5.4</v>
      </c>
      <c r="AY32" s="63"/>
      <c r="AZ32" s="39">
        <v>20</v>
      </c>
      <c r="BA32" s="207">
        <v>-5.2</v>
      </c>
      <c r="BB32" s="207">
        <v>-7.9</v>
      </c>
      <c r="BC32" s="207">
        <v>-2.5</v>
      </c>
      <c r="BD32" s="63"/>
      <c r="BE32" s="39">
        <v>10</v>
      </c>
      <c r="BF32" s="207">
        <v>-4.3</v>
      </c>
      <c r="BG32" s="207">
        <v>-8</v>
      </c>
      <c r="BH32" s="207">
        <v>-0.6</v>
      </c>
      <c r="BI32" s="63"/>
      <c r="BJ32" s="39">
        <v>150</v>
      </c>
      <c r="BK32" s="207">
        <v>-6.2</v>
      </c>
      <c r="BL32" s="207">
        <v>-7.2</v>
      </c>
      <c r="BM32" s="207">
        <v>-5.2</v>
      </c>
    </row>
    <row r="33" spans="1:65" ht="15" customHeight="1" x14ac:dyDescent="0.25">
      <c r="A33" s="67"/>
      <c r="B33" s="206"/>
      <c r="C33" s="39">
        <v>760</v>
      </c>
      <c r="D33" s="207">
        <v>-3.9</v>
      </c>
      <c r="E33" s="207">
        <v>-4.3</v>
      </c>
      <c r="F33" s="207">
        <v>-3.4</v>
      </c>
      <c r="G33" s="63"/>
      <c r="H33" s="39">
        <v>300</v>
      </c>
      <c r="I33" s="207">
        <v>-2.4</v>
      </c>
      <c r="J33" s="207">
        <v>-3.1</v>
      </c>
      <c r="K33" s="207">
        <v>-1.7</v>
      </c>
      <c r="L33" s="63"/>
      <c r="M33" s="39">
        <v>130</v>
      </c>
      <c r="N33" s="207">
        <v>-2.2000000000000002</v>
      </c>
      <c r="O33" s="207">
        <v>-3.3</v>
      </c>
      <c r="P33" s="207">
        <v>-1.1000000000000001</v>
      </c>
      <c r="Q33" s="63"/>
      <c r="R33" s="39">
        <v>1180</v>
      </c>
      <c r="S33" s="207">
        <v>-3.3</v>
      </c>
      <c r="T33" s="207">
        <v>-3.7</v>
      </c>
      <c r="U33" s="207">
        <v>-3</v>
      </c>
      <c r="W33" s="67"/>
      <c r="X33" s="67" t="s">
        <v>117</v>
      </c>
      <c r="Y33" s="39">
        <v>410</v>
      </c>
      <c r="Z33" s="207">
        <v>-4.2</v>
      </c>
      <c r="AA33" s="207">
        <v>-4.8</v>
      </c>
      <c r="AB33" s="207">
        <v>-3.6</v>
      </c>
      <c r="AC33" s="63"/>
      <c r="AD33" s="39">
        <v>150</v>
      </c>
      <c r="AE33" s="207">
        <v>-2.2999999999999998</v>
      </c>
      <c r="AF33" s="207">
        <v>-3.3</v>
      </c>
      <c r="AG33" s="207">
        <v>-1.3</v>
      </c>
      <c r="AH33" s="63"/>
      <c r="AI33" s="39">
        <v>70</v>
      </c>
      <c r="AJ33" s="207">
        <v>-1.7</v>
      </c>
      <c r="AK33" s="207">
        <v>-3.1</v>
      </c>
      <c r="AL33" s="207">
        <v>-0.3</v>
      </c>
      <c r="AM33" s="63"/>
      <c r="AN33" s="39">
        <v>640</v>
      </c>
      <c r="AO33" s="207">
        <v>-3.5</v>
      </c>
      <c r="AP33" s="207">
        <v>-4</v>
      </c>
      <c r="AQ33" s="207">
        <v>-3</v>
      </c>
      <c r="AS33" s="67"/>
      <c r="AT33" s="67" t="s">
        <v>117</v>
      </c>
      <c r="AU33" s="39">
        <v>350</v>
      </c>
      <c r="AV33" s="207">
        <v>-3.5</v>
      </c>
      <c r="AW33" s="207">
        <v>-4.0999999999999996</v>
      </c>
      <c r="AX33" s="207">
        <v>-2.8</v>
      </c>
      <c r="AY33" s="63"/>
      <c r="AZ33" s="39">
        <v>150</v>
      </c>
      <c r="BA33" s="207">
        <v>-2.4</v>
      </c>
      <c r="BB33" s="207">
        <v>-3.5</v>
      </c>
      <c r="BC33" s="207">
        <v>-1.4</v>
      </c>
      <c r="BD33" s="63"/>
      <c r="BE33" s="39">
        <v>50</v>
      </c>
      <c r="BF33" s="207">
        <v>-3</v>
      </c>
      <c r="BG33" s="207">
        <v>-4.7</v>
      </c>
      <c r="BH33" s="207">
        <v>-1.3</v>
      </c>
      <c r="BI33" s="63"/>
      <c r="BJ33" s="39">
        <v>550</v>
      </c>
      <c r="BK33" s="207">
        <v>-3.2</v>
      </c>
      <c r="BL33" s="207">
        <v>-3.7</v>
      </c>
      <c r="BM33" s="207">
        <v>-2.6</v>
      </c>
    </row>
    <row r="34" spans="1:65" ht="15" customHeight="1" x14ac:dyDescent="0.25">
      <c r="A34" s="67"/>
      <c r="B34" s="206"/>
      <c r="C34" s="63"/>
      <c r="D34" s="76"/>
      <c r="E34" s="76"/>
      <c r="F34" s="76"/>
      <c r="G34" s="63"/>
      <c r="H34" s="63"/>
      <c r="I34" s="76"/>
      <c r="J34" s="76"/>
      <c r="K34" s="76"/>
      <c r="L34" s="63"/>
      <c r="M34" s="63"/>
      <c r="N34" s="76"/>
      <c r="O34" s="76"/>
      <c r="P34" s="76"/>
      <c r="Q34" s="63"/>
      <c r="R34" s="63"/>
      <c r="S34" s="76"/>
      <c r="T34" s="76"/>
      <c r="U34" s="76"/>
      <c r="W34" s="67"/>
      <c r="X34" s="67"/>
      <c r="Y34" s="63"/>
      <c r="Z34" s="76"/>
      <c r="AA34" s="76"/>
      <c r="AB34" s="76"/>
      <c r="AC34" s="63"/>
      <c r="AD34" s="63"/>
      <c r="AE34" s="76"/>
      <c r="AF34" s="76"/>
      <c r="AG34" s="76"/>
      <c r="AH34" s="63"/>
      <c r="AI34" s="63"/>
      <c r="AJ34" s="76"/>
      <c r="AK34" s="76"/>
      <c r="AL34" s="76"/>
      <c r="AM34" s="63"/>
      <c r="AN34" s="63"/>
      <c r="AO34" s="76"/>
      <c r="AP34" s="76"/>
      <c r="AQ34" s="76"/>
      <c r="AS34" s="67"/>
      <c r="AT34" s="67"/>
      <c r="AU34" s="63"/>
      <c r="AV34" s="76"/>
      <c r="AW34" s="76"/>
      <c r="AX34" s="76"/>
      <c r="AY34" s="63"/>
      <c r="AZ34" s="63"/>
      <c r="BA34" s="76"/>
      <c r="BB34" s="76"/>
      <c r="BC34" s="76"/>
      <c r="BD34" s="63"/>
      <c r="BE34" s="63"/>
      <c r="BF34" s="76"/>
      <c r="BG34" s="76"/>
      <c r="BH34" s="76"/>
      <c r="BI34" s="63"/>
      <c r="BJ34" s="63"/>
      <c r="BK34" s="76"/>
      <c r="BL34" s="76"/>
      <c r="BM34" s="76"/>
    </row>
    <row r="35" spans="1:65" ht="15" customHeight="1" x14ac:dyDescent="0.25">
      <c r="A35" s="62" t="s">
        <v>119</v>
      </c>
      <c r="B35" s="206"/>
      <c r="C35" s="55"/>
      <c r="D35" s="76"/>
      <c r="E35" s="76"/>
      <c r="F35" s="76"/>
      <c r="G35" s="55"/>
      <c r="H35" s="55"/>
      <c r="I35" s="76"/>
      <c r="J35" s="76"/>
      <c r="K35" s="76"/>
      <c r="L35" s="55"/>
      <c r="M35" s="55"/>
      <c r="N35" s="76"/>
      <c r="O35" s="76"/>
      <c r="P35" s="76"/>
      <c r="Q35" s="55"/>
      <c r="R35" s="55"/>
      <c r="S35" s="76"/>
      <c r="T35" s="76"/>
      <c r="U35" s="76"/>
      <c r="W35" s="62" t="s">
        <v>119</v>
      </c>
      <c r="X35" s="55"/>
      <c r="Y35" s="55"/>
      <c r="Z35" s="76"/>
      <c r="AA35" s="76"/>
      <c r="AB35" s="76"/>
      <c r="AC35" s="55"/>
      <c r="AD35" s="55"/>
      <c r="AE35" s="76"/>
      <c r="AF35" s="76"/>
      <c r="AG35" s="76"/>
      <c r="AH35" s="55"/>
      <c r="AI35" s="55"/>
      <c r="AJ35" s="76"/>
      <c r="AK35" s="76"/>
      <c r="AL35" s="76"/>
      <c r="AM35" s="55"/>
      <c r="AN35" s="55"/>
      <c r="AO35" s="76"/>
      <c r="AP35" s="76"/>
      <c r="AQ35" s="76"/>
      <c r="AS35" s="62" t="s">
        <v>119</v>
      </c>
      <c r="AT35" s="55"/>
      <c r="AU35" s="55"/>
      <c r="AV35" s="76"/>
      <c r="AW35" s="76"/>
      <c r="AX35" s="76"/>
      <c r="AY35" s="55"/>
      <c r="AZ35" s="55"/>
      <c r="BA35" s="76"/>
      <c r="BB35" s="76"/>
      <c r="BC35" s="76"/>
      <c r="BD35" s="55"/>
      <c r="BE35" s="55"/>
      <c r="BF35" s="76"/>
      <c r="BG35" s="76"/>
      <c r="BH35" s="76"/>
      <c r="BI35" s="55"/>
      <c r="BJ35" s="55"/>
      <c r="BK35" s="76"/>
      <c r="BL35" s="76"/>
      <c r="BM35" s="76"/>
    </row>
    <row r="36" spans="1:65" ht="15" customHeight="1" x14ac:dyDescent="0.25">
      <c r="A36" s="37"/>
      <c r="B36" s="206"/>
      <c r="C36" s="55"/>
      <c r="D36" s="76"/>
      <c r="E36" s="76"/>
      <c r="F36" s="76"/>
      <c r="G36" s="55"/>
      <c r="H36" s="55"/>
      <c r="I36" s="76"/>
      <c r="J36" s="76"/>
      <c r="K36" s="76"/>
      <c r="L36" s="55"/>
      <c r="M36" s="55"/>
      <c r="N36" s="76"/>
      <c r="O36" s="76"/>
      <c r="P36" s="76"/>
      <c r="Q36" s="55"/>
      <c r="R36" s="55"/>
      <c r="S36" s="76"/>
      <c r="T36" s="76"/>
      <c r="U36" s="76"/>
      <c r="W36" s="37"/>
      <c r="X36" s="55"/>
      <c r="Y36" s="55"/>
      <c r="Z36" s="76"/>
      <c r="AA36" s="76"/>
      <c r="AB36" s="76"/>
      <c r="AC36" s="55"/>
      <c r="AD36" s="55"/>
      <c r="AE36" s="76"/>
      <c r="AF36" s="76"/>
      <c r="AG36" s="76"/>
      <c r="AH36" s="55"/>
      <c r="AI36" s="55"/>
      <c r="AJ36" s="76"/>
      <c r="AK36" s="76"/>
      <c r="AL36" s="76"/>
      <c r="AM36" s="55"/>
      <c r="AN36" s="55"/>
      <c r="AO36" s="76"/>
      <c r="AP36" s="76"/>
      <c r="AQ36" s="76"/>
      <c r="AS36" s="37"/>
      <c r="AT36" s="55"/>
      <c r="AU36" s="55"/>
      <c r="AV36" s="76"/>
      <c r="AW36" s="76"/>
      <c r="AX36" s="76"/>
      <c r="AY36" s="55"/>
      <c r="AZ36" s="55"/>
      <c r="BA36" s="76"/>
      <c r="BB36" s="76"/>
      <c r="BC36" s="76"/>
      <c r="BD36" s="55"/>
      <c r="BE36" s="55"/>
      <c r="BF36" s="76"/>
      <c r="BG36" s="76"/>
      <c r="BH36" s="76"/>
      <c r="BI36" s="55"/>
      <c r="BJ36" s="55"/>
      <c r="BK36" s="76"/>
      <c r="BL36" s="76"/>
      <c r="BM36" s="76"/>
    </row>
    <row r="37" spans="1:65" ht="15" customHeight="1" x14ac:dyDescent="0.25">
      <c r="A37" s="95" t="s">
        <v>114</v>
      </c>
      <c r="B37" s="206"/>
      <c r="C37" s="63">
        <v>2200</v>
      </c>
      <c r="D37" s="76">
        <v>-2.7</v>
      </c>
      <c r="E37" s="76">
        <v>-2.9</v>
      </c>
      <c r="F37" s="76">
        <v>-2.4</v>
      </c>
      <c r="G37" s="63"/>
      <c r="H37" s="63">
        <v>810</v>
      </c>
      <c r="I37" s="76">
        <v>-1.4</v>
      </c>
      <c r="J37" s="76">
        <v>-1.8</v>
      </c>
      <c r="K37" s="76">
        <v>-1</v>
      </c>
      <c r="L37" s="63"/>
      <c r="M37" s="63">
        <v>340</v>
      </c>
      <c r="N37" s="76">
        <v>-1</v>
      </c>
      <c r="O37" s="76">
        <v>-1.5</v>
      </c>
      <c r="P37" s="76">
        <v>-0.4</v>
      </c>
      <c r="Q37" s="63"/>
      <c r="R37" s="63">
        <v>3350</v>
      </c>
      <c r="S37" s="76">
        <v>-2.2000000000000002</v>
      </c>
      <c r="T37" s="76">
        <v>-2.4</v>
      </c>
      <c r="U37" s="76">
        <v>-2</v>
      </c>
      <c r="W37" s="95" t="s">
        <v>114</v>
      </c>
      <c r="X37" s="55"/>
      <c r="Y37" s="63">
        <v>1090</v>
      </c>
      <c r="Z37" s="76">
        <v>-2</v>
      </c>
      <c r="AA37" s="76">
        <v>-2.2999999999999998</v>
      </c>
      <c r="AB37" s="76">
        <v>-1.7</v>
      </c>
      <c r="AC37" s="63"/>
      <c r="AD37" s="63">
        <v>390</v>
      </c>
      <c r="AE37" s="76">
        <v>-0.7</v>
      </c>
      <c r="AF37" s="76">
        <v>-1.2</v>
      </c>
      <c r="AG37" s="76">
        <v>-0.1</v>
      </c>
      <c r="AH37" s="63"/>
      <c r="AI37" s="63">
        <v>160</v>
      </c>
      <c r="AJ37" s="76">
        <v>0.4</v>
      </c>
      <c r="AK37" s="76">
        <v>-0.4</v>
      </c>
      <c r="AL37" s="76">
        <v>1.3</v>
      </c>
      <c r="AM37" s="63"/>
      <c r="AN37" s="63">
        <v>1630</v>
      </c>
      <c r="AO37" s="76">
        <v>-1.4</v>
      </c>
      <c r="AP37" s="76">
        <v>-1.7</v>
      </c>
      <c r="AQ37" s="76">
        <v>-1.2</v>
      </c>
      <c r="AS37" s="95" t="s">
        <v>114</v>
      </c>
      <c r="AT37" s="55"/>
      <c r="AU37" s="63">
        <v>1120</v>
      </c>
      <c r="AV37" s="76">
        <v>-3.3</v>
      </c>
      <c r="AW37" s="76">
        <v>-3.6</v>
      </c>
      <c r="AX37" s="76">
        <v>-3</v>
      </c>
      <c r="AY37" s="63"/>
      <c r="AZ37" s="63">
        <v>420</v>
      </c>
      <c r="BA37" s="76">
        <v>-2.1</v>
      </c>
      <c r="BB37" s="76">
        <v>-2.6</v>
      </c>
      <c r="BC37" s="76">
        <v>-1.6</v>
      </c>
      <c r="BD37" s="63"/>
      <c r="BE37" s="63">
        <v>190</v>
      </c>
      <c r="BF37" s="76">
        <v>-2.2000000000000002</v>
      </c>
      <c r="BG37" s="76">
        <v>-2.9</v>
      </c>
      <c r="BH37" s="76">
        <v>-1.4</v>
      </c>
      <c r="BI37" s="63"/>
      <c r="BJ37" s="63">
        <v>1730</v>
      </c>
      <c r="BK37" s="76">
        <v>-2.9</v>
      </c>
      <c r="BL37" s="76">
        <v>-3.1</v>
      </c>
      <c r="BM37" s="76">
        <v>-2.6</v>
      </c>
    </row>
    <row r="38" spans="1:65" ht="15" customHeight="1" x14ac:dyDescent="0.25">
      <c r="A38" s="62"/>
      <c r="B38" s="206"/>
      <c r="C38" s="55"/>
      <c r="D38" s="76"/>
      <c r="E38" s="76"/>
      <c r="F38" s="76"/>
      <c r="G38" s="55"/>
      <c r="H38" s="55"/>
      <c r="I38" s="76"/>
      <c r="J38" s="76"/>
      <c r="K38" s="76"/>
      <c r="L38" s="55"/>
      <c r="M38" s="55"/>
      <c r="N38" s="76"/>
      <c r="O38" s="76"/>
      <c r="P38" s="76"/>
      <c r="Q38" s="55"/>
      <c r="R38" s="55"/>
      <c r="S38" s="76"/>
      <c r="T38" s="76"/>
      <c r="U38" s="76"/>
      <c r="W38" s="62"/>
      <c r="X38" s="55"/>
      <c r="Y38" s="55"/>
      <c r="Z38" s="76"/>
      <c r="AA38" s="76"/>
      <c r="AB38" s="76"/>
      <c r="AC38" s="55"/>
      <c r="AD38" s="55"/>
      <c r="AE38" s="76"/>
      <c r="AF38" s="76"/>
      <c r="AG38" s="76"/>
      <c r="AH38" s="55"/>
      <c r="AI38" s="55"/>
      <c r="AJ38" s="76"/>
      <c r="AK38" s="76"/>
      <c r="AL38" s="76"/>
      <c r="AM38" s="55"/>
      <c r="AN38" s="55"/>
      <c r="AO38" s="76"/>
      <c r="AP38" s="76"/>
      <c r="AQ38" s="76"/>
      <c r="AS38" s="62"/>
      <c r="AT38" s="55"/>
      <c r="AU38" s="55"/>
      <c r="AV38" s="76"/>
      <c r="AW38" s="76"/>
      <c r="AX38" s="76"/>
      <c r="AY38" s="55"/>
      <c r="AZ38" s="55"/>
      <c r="BA38" s="76"/>
      <c r="BB38" s="76"/>
      <c r="BC38" s="76"/>
      <c r="BD38" s="55"/>
      <c r="BE38" s="55"/>
      <c r="BF38" s="76"/>
      <c r="BG38" s="76"/>
      <c r="BH38" s="76"/>
      <c r="BI38" s="55"/>
      <c r="BJ38" s="55"/>
      <c r="BK38" s="76"/>
      <c r="BL38" s="76"/>
      <c r="BM38" s="76"/>
    </row>
    <row r="39" spans="1:65" ht="15" customHeight="1" x14ac:dyDescent="0.25">
      <c r="A39" s="37" t="s">
        <v>115</v>
      </c>
      <c r="B39" s="206"/>
      <c r="C39" s="39">
        <v>2270</v>
      </c>
      <c r="D39" s="207">
        <v>-2.9</v>
      </c>
      <c r="E39" s="207">
        <v>-3.2</v>
      </c>
      <c r="F39" s="207">
        <v>-2.7</v>
      </c>
      <c r="G39" s="63"/>
      <c r="H39" s="39">
        <v>830</v>
      </c>
      <c r="I39" s="207">
        <v>-1.6</v>
      </c>
      <c r="J39" s="207">
        <v>-2</v>
      </c>
      <c r="K39" s="207">
        <v>-1.3</v>
      </c>
      <c r="L39" s="63"/>
      <c r="M39" s="39">
        <v>350</v>
      </c>
      <c r="N39" s="207">
        <v>-1.1000000000000001</v>
      </c>
      <c r="O39" s="207">
        <v>-1.7</v>
      </c>
      <c r="P39" s="207">
        <v>-0.6</v>
      </c>
      <c r="Q39" s="63"/>
      <c r="R39" s="39">
        <v>3450</v>
      </c>
      <c r="S39" s="207">
        <v>-2.4</v>
      </c>
      <c r="T39" s="207">
        <v>-2.6</v>
      </c>
      <c r="U39" s="207">
        <v>-2.2999999999999998</v>
      </c>
      <c r="W39" s="37" t="s">
        <v>115</v>
      </c>
      <c r="X39" s="55"/>
      <c r="Y39" s="39">
        <v>1120</v>
      </c>
      <c r="Z39" s="207">
        <v>-2.2999999999999998</v>
      </c>
      <c r="AA39" s="207">
        <v>-2.6</v>
      </c>
      <c r="AB39" s="207">
        <v>-2</v>
      </c>
      <c r="AC39" s="63"/>
      <c r="AD39" s="39">
        <v>400</v>
      </c>
      <c r="AE39" s="207">
        <v>-1.1000000000000001</v>
      </c>
      <c r="AF39" s="207">
        <v>-1.6</v>
      </c>
      <c r="AG39" s="207">
        <v>-0.6</v>
      </c>
      <c r="AH39" s="63"/>
      <c r="AI39" s="39">
        <v>160</v>
      </c>
      <c r="AJ39" s="207">
        <v>0.3</v>
      </c>
      <c r="AK39" s="207">
        <v>-0.5</v>
      </c>
      <c r="AL39" s="207">
        <v>1.1000000000000001</v>
      </c>
      <c r="AM39" s="63"/>
      <c r="AN39" s="39">
        <v>1680</v>
      </c>
      <c r="AO39" s="207">
        <v>-1.8</v>
      </c>
      <c r="AP39" s="207">
        <v>-2</v>
      </c>
      <c r="AQ39" s="207">
        <v>-1.5</v>
      </c>
      <c r="AS39" s="37" t="s">
        <v>115</v>
      </c>
      <c r="AT39" s="55"/>
      <c r="AU39" s="39">
        <v>1150</v>
      </c>
      <c r="AV39" s="207">
        <v>-3.5</v>
      </c>
      <c r="AW39" s="207">
        <v>-3.9</v>
      </c>
      <c r="AX39" s="207">
        <v>-3.2</v>
      </c>
      <c r="AY39" s="63"/>
      <c r="AZ39" s="39">
        <v>430</v>
      </c>
      <c r="BA39" s="207">
        <v>-2.1</v>
      </c>
      <c r="BB39" s="207">
        <v>-2.6</v>
      </c>
      <c r="BC39" s="207">
        <v>-1.6</v>
      </c>
      <c r="BD39" s="63"/>
      <c r="BE39" s="39">
        <v>190</v>
      </c>
      <c r="BF39" s="207">
        <v>-2.2999999999999998</v>
      </c>
      <c r="BG39" s="207">
        <v>-3.1</v>
      </c>
      <c r="BH39" s="207">
        <v>-1.6</v>
      </c>
      <c r="BI39" s="63"/>
      <c r="BJ39" s="39">
        <v>1770</v>
      </c>
      <c r="BK39" s="207">
        <v>-3.1</v>
      </c>
      <c r="BL39" s="207">
        <v>-3.3</v>
      </c>
      <c r="BM39" s="207">
        <v>-2.8</v>
      </c>
    </row>
    <row r="40" spans="1:65" ht="15" customHeight="1" x14ac:dyDescent="0.25">
      <c r="A40" s="66"/>
      <c r="B40" s="206"/>
      <c r="C40" s="63"/>
      <c r="D40" s="76"/>
      <c r="E40" s="76"/>
      <c r="F40" s="76"/>
      <c r="G40" s="63"/>
      <c r="H40" s="63"/>
      <c r="I40" s="76"/>
      <c r="J40" s="76"/>
      <c r="K40" s="76"/>
      <c r="L40" s="63"/>
      <c r="M40" s="63"/>
      <c r="N40" s="76"/>
      <c r="O40" s="76"/>
      <c r="P40" s="76"/>
      <c r="Q40" s="63"/>
      <c r="R40" s="63"/>
      <c r="S40" s="76"/>
      <c r="T40" s="76"/>
      <c r="U40" s="76"/>
      <c r="W40" s="66"/>
      <c r="X40" s="55"/>
      <c r="Y40" s="63"/>
      <c r="Z40" s="76"/>
      <c r="AA40" s="76"/>
      <c r="AB40" s="76"/>
      <c r="AC40" s="63"/>
      <c r="AD40" s="63"/>
      <c r="AE40" s="76"/>
      <c r="AF40" s="76"/>
      <c r="AG40" s="76"/>
      <c r="AH40" s="63"/>
      <c r="AI40" s="63"/>
      <c r="AJ40" s="76"/>
      <c r="AK40" s="76"/>
      <c r="AL40" s="76"/>
      <c r="AM40" s="63"/>
      <c r="AN40" s="63"/>
      <c r="AO40" s="76"/>
      <c r="AP40" s="76"/>
      <c r="AQ40" s="76"/>
      <c r="AS40" s="66"/>
      <c r="AT40" s="55"/>
      <c r="AU40" s="63"/>
      <c r="AV40" s="76"/>
      <c r="AW40" s="76"/>
      <c r="AX40" s="76"/>
      <c r="AY40" s="63"/>
      <c r="AZ40" s="63"/>
      <c r="BA40" s="76"/>
      <c r="BB40" s="76"/>
      <c r="BC40" s="76"/>
      <c r="BD40" s="63"/>
      <c r="BE40" s="63"/>
      <c r="BF40" s="76"/>
      <c r="BG40" s="76"/>
      <c r="BH40" s="76"/>
      <c r="BI40" s="63"/>
      <c r="BJ40" s="63"/>
      <c r="BK40" s="76"/>
      <c r="BL40" s="76"/>
      <c r="BM40" s="76"/>
    </row>
    <row r="41" spans="1:65" ht="15" customHeight="1" x14ac:dyDescent="0.25">
      <c r="A41" s="67" t="s">
        <v>45</v>
      </c>
      <c r="B41" s="206"/>
      <c r="C41" s="39">
        <v>1240</v>
      </c>
      <c r="D41" s="207">
        <v>-1.6</v>
      </c>
      <c r="E41" s="207">
        <v>-1.9</v>
      </c>
      <c r="F41" s="207">
        <v>-1.3</v>
      </c>
      <c r="G41" s="63"/>
      <c r="H41" s="39">
        <v>470</v>
      </c>
      <c r="I41" s="207">
        <v>-0.6</v>
      </c>
      <c r="J41" s="207">
        <v>-1.1000000000000001</v>
      </c>
      <c r="K41" s="207">
        <v>-0.1</v>
      </c>
      <c r="L41" s="63"/>
      <c r="M41" s="39">
        <v>200</v>
      </c>
      <c r="N41" s="207">
        <v>-0.4</v>
      </c>
      <c r="O41" s="207">
        <v>-1.1000000000000001</v>
      </c>
      <c r="P41" s="207">
        <v>0.3</v>
      </c>
      <c r="Q41" s="63"/>
      <c r="R41" s="39">
        <v>1910</v>
      </c>
      <c r="S41" s="207">
        <v>-1.2</v>
      </c>
      <c r="T41" s="207">
        <v>-1.5</v>
      </c>
      <c r="U41" s="207">
        <v>-1</v>
      </c>
      <c r="W41" s="67" t="s">
        <v>45</v>
      </c>
      <c r="X41" s="55"/>
      <c r="Y41" s="39">
        <v>550</v>
      </c>
      <c r="Z41" s="207">
        <v>-0.7</v>
      </c>
      <c r="AA41" s="207">
        <v>-1.2</v>
      </c>
      <c r="AB41" s="207">
        <v>-0.3</v>
      </c>
      <c r="AC41" s="63"/>
      <c r="AD41" s="39">
        <v>200</v>
      </c>
      <c r="AE41" s="207">
        <v>0.5</v>
      </c>
      <c r="AF41" s="207">
        <v>-0.3</v>
      </c>
      <c r="AG41" s="207">
        <v>1.2</v>
      </c>
      <c r="AH41" s="63"/>
      <c r="AI41" s="39">
        <v>80</v>
      </c>
      <c r="AJ41" s="207">
        <v>1</v>
      </c>
      <c r="AK41" s="207">
        <v>-0.2</v>
      </c>
      <c r="AL41" s="207">
        <v>2.2000000000000002</v>
      </c>
      <c r="AM41" s="63"/>
      <c r="AN41" s="39">
        <v>820</v>
      </c>
      <c r="AO41" s="207">
        <v>-0.3</v>
      </c>
      <c r="AP41" s="207">
        <v>-0.7</v>
      </c>
      <c r="AQ41" s="207">
        <v>0.1</v>
      </c>
      <c r="AS41" s="67" t="s">
        <v>45</v>
      </c>
      <c r="AT41" s="55"/>
      <c r="AU41" s="39">
        <v>700</v>
      </c>
      <c r="AV41" s="207">
        <v>-2.2999999999999998</v>
      </c>
      <c r="AW41" s="207">
        <v>-2.7</v>
      </c>
      <c r="AX41" s="207">
        <v>-1.9</v>
      </c>
      <c r="AY41" s="63"/>
      <c r="AZ41" s="39">
        <v>270</v>
      </c>
      <c r="BA41" s="207">
        <v>-1.4</v>
      </c>
      <c r="BB41" s="207">
        <v>-2</v>
      </c>
      <c r="BC41" s="207">
        <v>-0.8</v>
      </c>
      <c r="BD41" s="63"/>
      <c r="BE41" s="39">
        <v>130</v>
      </c>
      <c r="BF41" s="207">
        <v>-1.2</v>
      </c>
      <c r="BG41" s="207">
        <v>-2.1</v>
      </c>
      <c r="BH41" s="207">
        <v>-0.3</v>
      </c>
      <c r="BI41" s="63"/>
      <c r="BJ41" s="39">
        <v>1090</v>
      </c>
      <c r="BK41" s="207">
        <v>-1.9</v>
      </c>
      <c r="BL41" s="207">
        <v>-2.2000000000000002</v>
      </c>
      <c r="BM41" s="207">
        <v>-1.6</v>
      </c>
    </row>
    <row r="42" spans="1:65" ht="15" customHeight="1" x14ac:dyDescent="0.25">
      <c r="A42" s="67"/>
      <c r="B42" s="206"/>
      <c r="C42" s="68"/>
      <c r="D42" s="289"/>
      <c r="E42" s="290"/>
      <c r="F42" s="289"/>
      <c r="G42" s="70"/>
      <c r="H42" s="68"/>
      <c r="I42" s="289"/>
      <c r="J42" s="290"/>
      <c r="K42" s="289"/>
      <c r="L42" s="70"/>
      <c r="M42" s="68"/>
      <c r="N42" s="289"/>
      <c r="O42" s="290"/>
      <c r="P42" s="289"/>
      <c r="Q42" s="70"/>
      <c r="R42" s="68"/>
      <c r="S42" s="289"/>
      <c r="T42" s="290"/>
      <c r="U42" s="289"/>
      <c r="W42" s="67"/>
      <c r="X42" s="55"/>
      <c r="Y42" s="68"/>
      <c r="Z42" s="289"/>
      <c r="AA42" s="290"/>
      <c r="AB42" s="289"/>
      <c r="AC42" s="70"/>
      <c r="AD42" s="68"/>
      <c r="AE42" s="289"/>
      <c r="AF42" s="290"/>
      <c r="AG42" s="289"/>
      <c r="AH42" s="70"/>
      <c r="AI42" s="68"/>
      <c r="AJ42" s="289"/>
      <c r="AK42" s="290"/>
      <c r="AL42" s="289"/>
      <c r="AM42" s="70"/>
      <c r="AN42" s="68"/>
      <c r="AO42" s="289"/>
      <c r="AP42" s="290"/>
      <c r="AQ42" s="289"/>
      <c r="AS42" s="67"/>
      <c r="AT42" s="55"/>
      <c r="AU42" s="68"/>
      <c r="AV42" s="289"/>
      <c r="AW42" s="290"/>
      <c r="AX42" s="289"/>
      <c r="AY42" s="70"/>
      <c r="AZ42" s="68"/>
      <c r="BA42" s="289"/>
      <c r="BB42" s="290"/>
      <c r="BC42" s="289"/>
      <c r="BD42" s="70"/>
      <c r="BE42" s="68"/>
      <c r="BF42" s="289"/>
      <c r="BG42" s="290"/>
      <c r="BH42" s="289"/>
      <c r="BI42" s="70"/>
      <c r="BJ42" s="68"/>
      <c r="BK42" s="289"/>
      <c r="BL42" s="290"/>
      <c r="BM42" s="289"/>
    </row>
    <row r="43" spans="1:65" ht="15" customHeight="1" x14ac:dyDescent="0.25">
      <c r="A43" s="67" t="s">
        <v>75</v>
      </c>
      <c r="B43" s="206"/>
      <c r="C43" s="39">
        <v>1030</v>
      </c>
      <c r="D43" s="207">
        <v>-4.5</v>
      </c>
      <c r="E43" s="207">
        <v>-4.9000000000000004</v>
      </c>
      <c r="F43" s="207">
        <v>-4.2</v>
      </c>
      <c r="G43" s="63"/>
      <c r="H43" s="39">
        <v>360</v>
      </c>
      <c r="I43" s="207">
        <v>-2.9</v>
      </c>
      <c r="J43" s="207">
        <v>-3.5</v>
      </c>
      <c r="K43" s="207">
        <v>-2.4</v>
      </c>
      <c r="L43" s="63"/>
      <c r="M43" s="39">
        <v>150</v>
      </c>
      <c r="N43" s="207">
        <v>-2.2000000000000002</v>
      </c>
      <c r="O43" s="207">
        <v>-3.1</v>
      </c>
      <c r="P43" s="207">
        <v>-1.3</v>
      </c>
      <c r="Q43" s="63"/>
      <c r="R43" s="39">
        <v>1540</v>
      </c>
      <c r="S43" s="207">
        <v>-3.9</v>
      </c>
      <c r="T43" s="207">
        <v>-4.2</v>
      </c>
      <c r="U43" s="207">
        <v>-3.7</v>
      </c>
      <c r="W43" s="67" t="s">
        <v>75</v>
      </c>
      <c r="X43" s="55"/>
      <c r="Y43" s="39">
        <v>580</v>
      </c>
      <c r="Z43" s="207">
        <v>-3.8</v>
      </c>
      <c r="AA43" s="207">
        <v>-4.2</v>
      </c>
      <c r="AB43" s="207">
        <v>-3.4</v>
      </c>
      <c r="AC43" s="63"/>
      <c r="AD43" s="39">
        <v>200</v>
      </c>
      <c r="AE43" s="207">
        <v>-2.6</v>
      </c>
      <c r="AF43" s="207">
        <v>-3.3</v>
      </c>
      <c r="AG43" s="207">
        <v>-1.9</v>
      </c>
      <c r="AH43" s="63"/>
      <c r="AI43" s="39">
        <v>90</v>
      </c>
      <c r="AJ43" s="207">
        <v>-0.3</v>
      </c>
      <c r="AK43" s="207">
        <v>-1.4</v>
      </c>
      <c r="AL43" s="207">
        <v>0.8</v>
      </c>
      <c r="AM43" s="63"/>
      <c r="AN43" s="39">
        <v>870</v>
      </c>
      <c r="AO43" s="207">
        <v>-3.2</v>
      </c>
      <c r="AP43" s="207">
        <v>-3.5</v>
      </c>
      <c r="AQ43" s="207">
        <v>-2.8</v>
      </c>
      <c r="AS43" s="67" t="s">
        <v>75</v>
      </c>
      <c r="AT43" s="55"/>
      <c r="AU43" s="39">
        <v>460</v>
      </c>
      <c r="AV43" s="207">
        <v>-5.5</v>
      </c>
      <c r="AW43" s="207">
        <v>-6</v>
      </c>
      <c r="AX43" s="207">
        <v>-5</v>
      </c>
      <c r="AY43" s="63"/>
      <c r="AZ43" s="39">
        <v>160</v>
      </c>
      <c r="BA43" s="207">
        <v>-3.4</v>
      </c>
      <c r="BB43" s="207">
        <v>-4.2</v>
      </c>
      <c r="BC43" s="207">
        <v>-2.5</v>
      </c>
      <c r="BD43" s="63"/>
      <c r="BE43" s="39">
        <v>60</v>
      </c>
      <c r="BF43" s="207">
        <v>-4.8</v>
      </c>
      <c r="BG43" s="207">
        <v>-6.2</v>
      </c>
      <c r="BH43" s="207">
        <v>-3.5</v>
      </c>
      <c r="BI43" s="63"/>
      <c r="BJ43" s="39">
        <v>670</v>
      </c>
      <c r="BK43" s="207">
        <v>-4.9000000000000004</v>
      </c>
      <c r="BL43" s="207">
        <v>-5.3</v>
      </c>
      <c r="BM43" s="207">
        <v>-4.5</v>
      </c>
    </row>
    <row r="44" spans="1:65" ht="15" customHeight="1" x14ac:dyDescent="0.25">
      <c r="A44" s="67"/>
      <c r="B44" s="206"/>
      <c r="C44" s="39">
        <v>290</v>
      </c>
      <c r="D44" s="207">
        <v>-7.6</v>
      </c>
      <c r="E44" s="207">
        <v>-8.1999999999999993</v>
      </c>
      <c r="F44" s="207">
        <v>-7</v>
      </c>
      <c r="G44" s="63"/>
      <c r="H44" s="39">
        <v>70</v>
      </c>
      <c r="I44" s="207">
        <v>-6.7</v>
      </c>
      <c r="J44" s="207">
        <v>-7.9</v>
      </c>
      <c r="K44" s="207">
        <v>-5.4</v>
      </c>
      <c r="L44" s="63"/>
      <c r="M44" s="39">
        <v>20</v>
      </c>
      <c r="N44" s="207">
        <v>-6.8</v>
      </c>
      <c r="O44" s="207">
        <v>-9</v>
      </c>
      <c r="P44" s="207">
        <v>-4.7</v>
      </c>
      <c r="Q44" s="63"/>
      <c r="R44" s="39">
        <v>380</v>
      </c>
      <c r="S44" s="207">
        <v>-7.4</v>
      </c>
      <c r="T44" s="207">
        <v>-7.9</v>
      </c>
      <c r="U44" s="207">
        <v>-6.9</v>
      </c>
      <c r="W44" s="67"/>
      <c r="X44" s="67" t="s">
        <v>116</v>
      </c>
      <c r="Y44" s="39">
        <v>180</v>
      </c>
      <c r="Z44" s="207">
        <v>-6.9</v>
      </c>
      <c r="AA44" s="207">
        <v>-7.7</v>
      </c>
      <c r="AB44" s="207">
        <v>-6.1</v>
      </c>
      <c r="AC44" s="63"/>
      <c r="AD44" s="39">
        <v>50</v>
      </c>
      <c r="AE44" s="207">
        <v>-6.3</v>
      </c>
      <c r="AF44" s="207">
        <v>-7.7</v>
      </c>
      <c r="AG44" s="207">
        <v>-4.8</v>
      </c>
      <c r="AH44" s="63"/>
      <c r="AI44" s="39">
        <v>10</v>
      </c>
      <c r="AJ44" s="207">
        <v>-5.6</v>
      </c>
      <c r="AK44" s="207">
        <v>-8.5</v>
      </c>
      <c r="AL44" s="207">
        <v>-2.7</v>
      </c>
      <c r="AM44" s="63"/>
      <c r="AN44" s="39">
        <v>240</v>
      </c>
      <c r="AO44" s="207">
        <v>-6.7</v>
      </c>
      <c r="AP44" s="207">
        <v>-7.4</v>
      </c>
      <c r="AQ44" s="207">
        <v>-6</v>
      </c>
      <c r="AS44" s="67"/>
      <c r="AT44" s="67" t="s">
        <v>116</v>
      </c>
      <c r="AU44" s="39">
        <v>110</v>
      </c>
      <c r="AV44" s="207">
        <v>-8.8000000000000007</v>
      </c>
      <c r="AW44" s="207">
        <v>-9.8000000000000007</v>
      </c>
      <c r="AX44" s="207">
        <v>-7.8</v>
      </c>
      <c r="AY44" s="63"/>
      <c r="AZ44" s="39">
        <v>20</v>
      </c>
      <c r="BA44" s="207">
        <v>-7.7</v>
      </c>
      <c r="BB44" s="207">
        <v>-10</v>
      </c>
      <c r="BC44" s="207">
        <v>-5.3</v>
      </c>
      <c r="BD44" s="63"/>
      <c r="BE44" s="39">
        <v>10</v>
      </c>
      <c r="BF44" s="207">
        <v>-8.5</v>
      </c>
      <c r="BG44" s="207">
        <v>-11.8</v>
      </c>
      <c r="BH44" s="207">
        <v>-5.2</v>
      </c>
      <c r="BI44" s="63"/>
      <c r="BJ44" s="39">
        <v>140</v>
      </c>
      <c r="BK44" s="207">
        <v>-8.6</v>
      </c>
      <c r="BL44" s="207">
        <v>-9.5</v>
      </c>
      <c r="BM44" s="207">
        <v>-7.7</v>
      </c>
    </row>
    <row r="45" spans="1:65" ht="15" customHeight="1" x14ac:dyDescent="0.25">
      <c r="A45" s="67"/>
      <c r="B45" s="206"/>
      <c r="C45" s="39">
        <v>750</v>
      </c>
      <c r="D45" s="207">
        <v>-3.4</v>
      </c>
      <c r="E45" s="207">
        <v>-3.7</v>
      </c>
      <c r="F45" s="207">
        <v>-3</v>
      </c>
      <c r="G45" s="63"/>
      <c r="H45" s="39">
        <v>290</v>
      </c>
      <c r="I45" s="207">
        <v>-2</v>
      </c>
      <c r="J45" s="207">
        <v>-2.7</v>
      </c>
      <c r="K45" s="207">
        <v>-1.4</v>
      </c>
      <c r="L45" s="63"/>
      <c r="M45" s="39">
        <v>120</v>
      </c>
      <c r="N45" s="207">
        <v>-1.3</v>
      </c>
      <c r="O45" s="207">
        <v>-2.2999999999999998</v>
      </c>
      <c r="P45" s="207">
        <v>-0.4</v>
      </c>
      <c r="Q45" s="63"/>
      <c r="R45" s="39">
        <v>1160</v>
      </c>
      <c r="S45" s="207">
        <v>-2.8</v>
      </c>
      <c r="T45" s="207">
        <v>-3.1</v>
      </c>
      <c r="U45" s="207">
        <v>-2.5</v>
      </c>
      <c r="W45" s="67"/>
      <c r="X45" s="67" t="s">
        <v>117</v>
      </c>
      <c r="Y45" s="39">
        <v>400</v>
      </c>
      <c r="Z45" s="207">
        <v>-2.4</v>
      </c>
      <c r="AA45" s="207">
        <v>-2.9</v>
      </c>
      <c r="AB45" s="207">
        <v>-1.9</v>
      </c>
      <c r="AC45" s="63"/>
      <c r="AD45" s="39">
        <v>150</v>
      </c>
      <c r="AE45" s="207">
        <v>-1.4</v>
      </c>
      <c r="AF45" s="207">
        <v>-2.2000000000000002</v>
      </c>
      <c r="AG45" s="207">
        <v>-0.5</v>
      </c>
      <c r="AH45" s="63"/>
      <c r="AI45" s="39">
        <v>70</v>
      </c>
      <c r="AJ45" s="207">
        <v>0.6</v>
      </c>
      <c r="AK45" s="207">
        <v>-0.6</v>
      </c>
      <c r="AL45" s="207">
        <v>1.9</v>
      </c>
      <c r="AM45" s="63"/>
      <c r="AN45" s="39">
        <v>630</v>
      </c>
      <c r="AO45" s="207">
        <v>-1.8</v>
      </c>
      <c r="AP45" s="207">
        <v>-2.2000000000000002</v>
      </c>
      <c r="AQ45" s="207">
        <v>-1.4</v>
      </c>
      <c r="AS45" s="67"/>
      <c r="AT45" s="67" t="s">
        <v>117</v>
      </c>
      <c r="AU45" s="39">
        <v>340</v>
      </c>
      <c r="AV45" s="207">
        <v>-4.4000000000000004</v>
      </c>
      <c r="AW45" s="207">
        <v>-5</v>
      </c>
      <c r="AX45" s="207">
        <v>-3.9</v>
      </c>
      <c r="AY45" s="63"/>
      <c r="AZ45" s="39">
        <v>140</v>
      </c>
      <c r="BA45" s="207">
        <v>-2.8</v>
      </c>
      <c r="BB45" s="207">
        <v>-3.6</v>
      </c>
      <c r="BC45" s="207">
        <v>-1.9</v>
      </c>
      <c r="BD45" s="63"/>
      <c r="BE45" s="39">
        <v>50</v>
      </c>
      <c r="BF45" s="207">
        <v>-4.0999999999999996</v>
      </c>
      <c r="BG45" s="207">
        <v>-5.6</v>
      </c>
      <c r="BH45" s="207">
        <v>-2.6</v>
      </c>
      <c r="BI45" s="63"/>
      <c r="BJ45" s="39">
        <v>530</v>
      </c>
      <c r="BK45" s="207">
        <v>-4</v>
      </c>
      <c r="BL45" s="207">
        <v>-4.4000000000000004</v>
      </c>
      <c r="BM45" s="207">
        <v>-3.5</v>
      </c>
    </row>
    <row r="46" spans="1:65" ht="15" customHeight="1" x14ac:dyDescent="0.25">
      <c r="A46" s="72"/>
      <c r="B46" s="72"/>
      <c r="C46" s="73"/>
      <c r="D46" s="73"/>
      <c r="E46" s="73"/>
      <c r="F46" s="73"/>
      <c r="G46" s="73"/>
      <c r="H46" s="73"/>
      <c r="I46" s="73"/>
      <c r="J46" s="73"/>
      <c r="K46" s="73"/>
      <c r="L46" s="73"/>
      <c r="M46" s="73"/>
      <c r="N46" s="73"/>
      <c r="O46" s="73"/>
      <c r="P46" s="73"/>
      <c r="Q46" s="73"/>
      <c r="R46" s="73"/>
      <c r="S46" s="73"/>
      <c r="T46" s="73"/>
      <c r="U46" s="73"/>
      <c r="W46" s="72"/>
      <c r="X46" s="72"/>
      <c r="Y46" s="73"/>
      <c r="Z46" s="73"/>
      <c r="AA46" s="73"/>
      <c r="AB46" s="73"/>
      <c r="AC46" s="73"/>
      <c r="AD46" s="73"/>
      <c r="AE46" s="73"/>
      <c r="AF46" s="73"/>
      <c r="AG46" s="73"/>
      <c r="AH46" s="73"/>
      <c r="AI46" s="73"/>
      <c r="AJ46" s="73"/>
      <c r="AK46" s="73"/>
      <c r="AL46" s="73"/>
      <c r="AM46" s="73"/>
      <c r="AN46" s="73"/>
      <c r="AO46" s="73"/>
      <c r="AP46" s="73"/>
      <c r="AQ46" s="73"/>
      <c r="AS46" s="72"/>
      <c r="AT46" s="72"/>
      <c r="AU46" s="73"/>
      <c r="AV46" s="73"/>
      <c r="AW46" s="73"/>
      <c r="AX46" s="73"/>
      <c r="AY46" s="73"/>
      <c r="AZ46" s="73"/>
      <c r="BA46" s="73"/>
      <c r="BB46" s="73"/>
      <c r="BC46" s="73"/>
      <c r="BD46" s="73"/>
      <c r="BE46" s="73"/>
      <c r="BF46" s="73"/>
      <c r="BG46" s="73"/>
      <c r="BH46" s="73"/>
      <c r="BI46" s="73"/>
      <c r="BJ46" s="73"/>
      <c r="BK46" s="73"/>
      <c r="BL46" s="73"/>
      <c r="BM46" s="73"/>
    </row>
    <row r="47" spans="1:65" ht="15" customHeight="1" x14ac:dyDescent="0.25">
      <c r="A47" s="74"/>
      <c r="B47" s="31"/>
      <c r="C47" s="31"/>
      <c r="D47" s="31"/>
      <c r="E47" s="31"/>
      <c r="F47" s="31"/>
      <c r="G47" s="31"/>
      <c r="H47" s="31"/>
      <c r="I47" s="31"/>
      <c r="J47" s="31"/>
      <c r="K47" s="31"/>
      <c r="L47" s="31"/>
      <c r="P47" s="49"/>
      <c r="Q47" s="31"/>
      <c r="U47" s="49" t="s">
        <v>120</v>
      </c>
      <c r="W47" s="74"/>
      <c r="X47" s="31"/>
      <c r="Y47" s="31"/>
      <c r="Z47" s="31"/>
      <c r="AA47" s="31"/>
      <c r="AB47" s="31"/>
      <c r="AC47" s="31"/>
      <c r="AD47" s="31"/>
      <c r="AE47" s="31"/>
      <c r="AF47" s="31"/>
      <c r="AG47" s="31"/>
      <c r="AH47" s="31"/>
      <c r="AL47" s="49"/>
      <c r="AM47" s="31"/>
      <c r="AQ47" s="49" t="s">
        <v>120</v>
      </c>
      <c r="AS47" s="74"/>
      <c r="AT47" s="31"/>
      <c r="AU47" s="31"/>
      <c r="AV47" s="31"/>
      <c r="AW47" s="31"/>
      <c r="AX47" s="31"/>
      <c r="AY47" s="31"/>
      <c r="AZ47" s="31"/>
      <c r="BA47" s="31"/>
      <c r="BB47" s="31"/>
      <c r="BC47" s="31"/>
      <c r="BD47" s="31"/>
      <c r="BH47" s="49"/>
      <c r="BI47" s="31"/>
      <c r="BM47" s="49" t="s">
        <v>120</v>
      </c>
    </row>
    <row r="48" spans="1:65" ht="15" customHeight="1" x14ac:dyDescent="0.25">
      <c r="A48" s="160"/>
      <c r="B48" s="31"/>
      <c r="C48" s="31"/>
      <c r="D48" s="31"/>
      <c r="E48" s="31"/>
      <c r="F48" s="31"/>
      <c r="G48" s="31"/>
      <c r="H48" s="31"/>
      <c r="I48" s="31"/>
      <c r="J48" s="31"/>
      <c r="K48" s="31"/>
      <c r="L48" s="31"/>
      <c r="W48" s="160"/>
      <c r="X48" s="31"/>
      <c r="Y48" s="31"/>
      <c r="Z48" s="31"/>
      <c r="AA48" s="31"/>
      <c r="AB48" s="31"/>
      <c r="AC48" s="31"/>
      <c r="AD48" s="31"/>
      <c r="AE48" s="31"/>
      <c r="AF48" s="31"/>
      <c r="AG48" s="31"/>
      <c r="AH48" s="31"/>
      <c r="AS48" s="160"/>
      <c r="AT48" s="31"/>
      <c r="AU48" s="31"/>
      <c r="AV48" s="31"/>
      <c r="AW48" s="31"/>
      <c r="AX48" s="31"/>
      <c r="AY48" s="31"/>
      <c r="AZ48" s="31"/>
      <c r="BA48" s="31"/>
      <c r="BB48" s="31"/>
      <c r="BC48" s="31"/>
      <c r="BD48" s="31"/>
    </row>
    <row r="49" spans="1:56" ht="15" customHeight="1" x14ac:dyDescent="0.25"/>
    <row r="51" spans="1:56" ht="15" customHeight="1" x14ac:dyDescent="0.25">
      <c r="A51" s="344"/>
      <c r="B51" s="344"/>
      <c r="C51" s="344"/>
      <c r="D51" s="344"/>
      <c r="E51" s="344"/>
      <c r="F51" s="291"/>
      <c r="G51" s="291"/>
      <c r="H51" s="291"/>
      <c r="I51" s="291"/>
      <c r="J51" s="291"/>
      <c r="K51" s="291"/>
      <c r="L51" s="291"/>
      <c r="W51" s="344"/>
      <c r="X51" s="344"/>
      <c r="Y51" s="344"/>
      <c r="Z51" s="344"/>
      <c r="AA51" s="344"/>
      <c r="AB51" s="291"/>
      <c r="AC51" s="291"/>
      <c r="AD51" s="291"/>
      <c r="AE51" s="291"/>
      <c r="AF51" s="291"/>
      <c r="AG51" s="291"/>
      <c r="AH51" s="291"/>
      <c r="AS51" s="344"/>
      <c r="AT51" s="344"/>
      <c r="AU51" s="344"/>
      <c r="AV51" s="344"/>
      <c r="AW51" s="344"/>
      <c r="AX51" s="291"/>
      <c r="AY51" s="291"/>
      <c r="AZ51" s="291"/>
      <c r="BA51" s="291"/>
      <c r="BB51" s="291"/>
      <c r="BC51" s="291"/>
      <c r="BD51" s="291"/>
    </row>
    <row r="52" spans="1:56" ht="15" customHeight="1" x14ac:dyDescent="0.25">
      <c r="A52" s="291"/>
      <c r="B52" s="291"/>
      <c r="C52" s="291"/>
      <c r="D52" s="291"/>
      <c r="E52" s="291"/>
      <c r="F52" s="291"/>
      <c r="G52" s="291"/>
      <c r="H52" s="291"/>
      <c r="I52" s="291"/>
      <c r="J52" s="291"/>
      <c r="K52" s="291"/>
      <c r="L52" s="291"/>
      <c r="W52" s="291"/>
      <c r="X52" s="291"/>
      <c r="Y52" s="291"/>
      <c r="Z52" s="291"/>
      <c r="AA52" s="291"/>
      <c r="AB52" s="291"/>
      <c r="AC52" s="291"/>
      <c r="AD52" s="291"/>
      <c r="AE52" s="291"/>
      <c r="AF52" s="291"/>
      <c r="AG52" s="291"/>
      <c r="AH52" s="291"/>
      <c r="AS52" s="291"/>
      <c r="AT52" s="291"/>
      <c r="AU52" s="291"/>
      <c r="AV52" s="291"/>
      <c r="AW52" s="291"/>
      <c r="AX52" s="291"/>
      <c r="AY52" s="291"/>
      <c r="AZ52" s="291"/>
      <c r="BA52" s="291"/>
      <c r="BB52" s="291"/>
      <c r="BC52" s="291"/>
      <c r="BD52" s="291"/>
    </row>
    <row r="53" spans="1:56" ht="15" customHeight="1" x14ac:dyDescent="0.25">
      <c r="A53" s="291"/>
      <c r="B53" s="291"/>
      <c r="C53" s="291"/>
      <c r="D53" s="291"/>
      <c r="E53" s="291"/>
      <c r="F53" s="291"/>
      <c r="G53" s="291"/>
      <c r="H53" s="291"/>
      <c r="I53" s="291"/>
      <c r="J53" s="291"/>
      <c r="K53" s="291"/>
      <c r="L53" s="291"/>
      <c r="W53" s="291"/>
      <c r="X53" s="291"/>
      <c r="Y53" s="291"/>
      <c r="Z53" s="291"/>
      <c r="AA53" s="291"/>
      <c r="AB53" s="291"/>
      <c r="AC53" s="291"/>
      <c r="AD53" s="291"/>
      <c r="AE53" s="291"/>
      <c r="AF53" s="291"/>
      <c r="AG53" s="291"/>
      <c r="AH53" s="291"/>
      <c r="AS53" s="291"/>
      <c r="AT53" s="291"/>
      <c r="AU53" s="291"/>
      <c r="AV53" s="291"/>
      <c r="AW53" s="291"/>
      <c r="AX53" s="291"/>
      <c r="AY53" s="291"/>
      <c r="AZ53" s="291"/>
      <c r="BA53" s="291"/>
      <c r="BB53" s="291"/>
      <c r="BC53" s="291"/>
      <c r="BD53" s="291"/>
    </row>
  </sheetData>
  <mergeCells count="18">
    <mergeCell ref="AZ8:BC8"/>
    <mergeCell ref="BE8:BH8"/>
    <mergeCell ref="BJ8:BM8"/>
    <mergeCell ref="A51:E51"/>
    <mergeCell ref="W51:AA51"/>
    <mergeCell ref="AS51:AW51"/>
    <mergeCell ref="A3:P3"/>
    <mergeCell ref="W3:AL3"/>
    <mergeCell ref="AS3:BH3"/>
    <mergeCell ref="C8:F8"/>
    <mergeCell ref="H8:K8"/>
    <mergeCell ref="M8:P8"/>
    <mergeCell ref="R8:U8"/>
    <mergeCell ref="Y8:AB8"/>
    <mergeCell ref="AD8:AG8"/>
    <mergeCell ref="AI8:AL8"/>
    <mergeCell ref="AN8:AQ8"/>
    <mergeCell ref="AU8:AX8"/>
  </mergeCells>
  <dataValidations count="1">
    <dataValidation type="list" allowBlank="1" showInputMessage="1" showErrorMessage="1" sqref="U6 AQ6 BM6">
      <formula1>$F$51:$F$53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74"/>
  <sheetViews>
    <sheetView showGridLines="0" workbookViewId="0"/>
  </sheetViews>
  <sheetFormatPr defaultColWidth="9" defaultRowHeight="15" x14ac:dyDescent="0.25"/>
  <cols>
    <col min="1" max="1" width="2.7109375" style="7" customWidth="1"/>
    <col min="2" max="2" width="50" style="7" customWidth="1"/>
    <col min="3" max="6" width="9.7109375" style="7" customWidth="1"/>
    <col min="7" max="7" width="1.7109375" style="7" customWidth="1"/>
    <col min="8" max="11" width="9.7109375" style="7" customWidth="1"/>
    <col min="12" max="12" width="1.7109375" style="7" customWidth="1"/>
    <col min="13" max="16" width="9.7109375" style="7" customWidth="1"/>
    <col min="17" max="17" width="1.7109375" style="7" customWidth="1"/>
    <col min="18" max="21" width="9.7109375" style="7" customWidth="1"/>
    <col min="22" max="26" width="9" style="7"/>
    <col min="27" max="28" width="0" style="7" hidden="1" customWidth="1"/>
    <col min="29" max="16384" width="9" style="16"/>
  </cols>
  <sheetData>
    <row r="1" spans="1:28" ht="15" customHeight="1" x14ac:dyDescent="0.25">
      <c r="A1" s="323"/>
      <c r="AA1" s="208" t="s">
        <v>20</v>
      </c>
    </row>
    <row r="2" spans="1:28" ht="15" customHeight="1" x14ac:dyDescent="0.25">
      <c r="A2" s="209" t="s">
        <v>12</v>
      </c>
      <c r="B2" s="198"/>
      <c r="C2" s="198"/>
      <c r="D2" s="198"/>
      <c r="E2" s="198"/>
      <c r="F2" s="198"/>
      <c r="G2" s="198"/>
      <c r="H2" s="198"/>
      <c r="I2" s="198"/>
      <c r="J2" s="198"/>
      <c r="K2" s="198"/>
      <c r="L2" s="198"/>
      <c r="Z2" s="16"/>
      <c r="AA2" s="208" t="s">
        <v>19</v>
      </c>
      <c r="AB2" s="16"/>
    </row>
    <row r="3" spans="1:28" ht="15" customHeight="1" x14ac:dyDescent="0.25">
      <c r="A3" s="349" t="s">
        <v>110</v>
      </c>
      <c r="B3" s="349"/>
      <c r="C3" s="349"/>
      <c r="D3" s="349"/>
      <c r="E3" s="349"/>
      <c r="F3" s="349"/>
      <c r="G3" s="349"/>
      <c r="H3" s="349"/>
      <c r="I3" s="349"/>
      <c r="J3" s="349"/>
      <c r="K3" s="349"/>
      <c r="L3" s="349"/>
      <c r="M3" s="349"/>
      <c r="N3" s="349"/>
      <c r="O3" s="349"/>
      <c r="P3" s="349"/>
      <c r="Z3" s="16"/>
      <c r="AA3" s="208" t="s">
        <v>18</v>
      </c>
      <c r="AB3" s="16"/>
    </row>
    <row r="4" spans="1:28" ht="15" customHeight="1" x14ac:dyDescent="0.25">
      <c r="A4" s="210" t="s">
        <v>164</v>
      </c>
      <c r="B4" s="104"/>
      <c r="C4" s="104"/>
      <c r="D4" s="104"/>
      <c r="E4" s="104"/>
      <c r="F4" s="104"/>
      <c r="G4" s="104"/>
      <c r="H4" s="104"/>
      <c r="I4" s="104"/>
      <c r="J4" s="104"/>
      <c r="K4" s="104"/>
      <c r="L4" s="104"/>
      <c r="Z4" s="16"/>
      <c r="AB4" s="16"/>
    </row>
    <row r="5" spans="1:28" s="20" customFormat="1" ht="15" customHeight="1" x14ac:dyDescent="0.25">
      <c r="A5" s="113" t="s">
        <v>47</v>
      </c>
      <c r="B5" s="104"/>
      <c r="C5" s="104"/>
      <c r="D5" s="104"/>
      <c r="E5" s="104"/>
      <c r="F5" s="7"/>
      <c r="G5" s="7"/>
      <c r="H5" s="7"/>
      <c r="I5" s="7"/>
      <c r="J5" s="7"/>
      <c r="K5" s="7"/>
      <c r="L5" s="7"/>
      <c r="M5" s="7"/>
      <c r="N5" s="7"/>
      <c r="O5" s="7"/>
      <c r="P5" s="7"/>
      <c r="Q5" s="7"/>
      <c r="R5" s="7"/>
      <c r="S5" s="7"/>
      <c r="T5" s="7"/>
      <c r="U5" s="7"/>
      <c r="V5" s="7"/>
      <c r="W5" s="7"/>
      <c r="X5" s="7"/>
      <c r="Y5" s="7"/>
      <c r="AA5" s="211">
        <f>IF(U11="Total",0*22,IF(U11="Male",1*22,2*22))</f>
        <v>0</v>
      </c>
    </row>
    <row r="6" spans="1:28" s="7" customFormat="1" x14ac:dyDescent="0.25">
      <c r="A6" s="21"/>
      <c r="F6" s="231"/>
    </row>
    <row r="7" spans="1:28" s="7" customFormat="1" ht="15" customHeight="1" x14ac:dyDescent="0.25">
      <c r="A7" s="329" t="s">
        <v>124</v>
      </c>
      <c r="B7" s="330"/>
      <c r="C7" s="330"/>
      <c r="D7" s="330"/>
      <c r="E7" s="330"/>
      <c r="F7" s="330"/>
      <c r="G7" s="330"/>
      <c r="H7" s="330"/>
      <c r="I7" s="330"/>
      <c r="J7" s="330"/>
      <c r="K7" s="330"/>
      <c r="L7" s="330"/>
      <c r="M7" s="330"/>
      <c r="N7" s="330"/>
      <c r="O7" s="330"/>
      <c r="P7" s="330"/>
      <c r="Q7" s="330"/>
    </row>
    <row r="8" spans="1:28" s="7" customFormat="1" x14ac:dyDescent="0.25">
      <c r="A8" s="330"/>
      <c r="B8" s="330"/>
      <c r="C8" s="330"/>
      <c r="D8" s="330"/>
      <c r="E8" s="330"/>
      <c r="F8" s="330"/>
      <c r="G8" s="330"/>
      <c r="H8" s="330"/>
      <c r="I8" s="330"/>
      <c r="J8" s="330"/>
      <c r="K8" s="330"/>
      <c r="L8" s="330"/>
      <c r="M8" s="330"/>
      <c r="N8" s="330"/>
      <c r="O8" s="330"/>
      <c r="P8" s="330"/>
      <c r="Q8" s="330"/>
    </row>
    <row r="9" spans="1:28" s="7" customFormat="1" x14ac:dyDescent="0.25">
      <c r="A9" s="330"/>
      <c r="B9" s="330"/>
      <c r="C9" s="330"/>
      <c r="D9" s="330"/>
      <c r="E9" s="330"/>
      <c r="F9" s="330"/>
      <c r="G9" s="330"/>
      <c r="H9" s="330"/>
      <c r="I9" s="330"/>
      <c r="J9" s="330"/>
      <c r="K9" s="330"/>
      <c r="L9" s="330"/>
      <c r="M9" s="330"/>
      <c r="N9" s="330"/>
      <c r="O9" s="330"/>
      <c r="P9" s="330"/>
      <c r="Q9" s="330"/>
    </row>
    <row r="10" spans="1:28" s="7" customFormat="1" ht="15" customHeight="1" x14ac:dyDescent="0.25">
      <c r="A10" s="294"/>
      <c r="B10" s="294"/>
      <c r="C10" s="294"/>
      <c r="D10" s="294"/>
      <c r="E10" s="294"/>
      <c r="F10" s="294"/>
      <c r="G10" s="294"/>
      <c r="H10" s="294"/>
      <c r="I10" s="294"/>
    </row>
    <row r="11" spans="1:28" ht="15" customHeight="1" x14ac:dyDescent="0.25">
      <c r="A11" s="109"/>
      <c r="B11" s="175"/>
      <c r="C11" s="175"/>
      <c r="D11" s="175"/>
      <c r="E11" s="175"/>
      <c r="F11" s="175"/>
      <c r="G11" s="175"/>
      <c r="H11" s="175"/>
      <c r="I11" s="175"/>
      <c r="J11" s="175"/>
      <c r="K11" s="175"/>
      <c r="L11" s="175"/>
      <c r="T11" s="24" t="s">
        <v>17</v>
      </c>
      <c r="U11" s="320" t="s">
        <v>20</v>
      </c>
      <c r="Z11" s="16"/>
      <c r="AA11" s="16"/>
      <c r="AB11" s="16"/>
    </row>
    <row r="12" spans="1:28" ht="15" customHeight="1" x14ac:dyDescent="0.25">
      <c r="A12" s="212"/>
      <c r="B12" s="213"/>
      <c r="C12" s="214"/>
      <c r="D12" s="214"/>
      <c r="E12" s="214"/>
      <c r="F12" s="214"/>
      <c r="G12" s="214"/>
      <c r="H12" s="214"/>
      <c r="I12" s="214"/>
      <c r="J12" s="214"/>
      <c r="K12" s="214"/>
      <c r="L12" s="214"/>
    </row>
    <row r="13" spans="1:28" ht="15" customHeight="1" x14ac:dyDescent="0.25">
      <c r="A13" s="215"/>
      <c r="B13" s="215"/>
      <c r="C13" s="350" t="s">
        <v>111</v>
      </c>
      <c r="D13" s="351"/>
      <c r="E13" s="351"/>
      <c r="F13" s="352"/>
      <c r="G13" s="216"/>
      <c r="H13" s="350" t="s">
        <v>112</v>
      </c>
      <c r="I13" s="351"/>
      <c r="J13" s="351"/>
      <c r="K13" s="352"/>
      <c r="L13" s="216"/>
      <c r="M13" s="353" t="s">
        <v>190</v>
      </c>
      <c r="N13" s="353"/>
      <c r="O13" s="353"/>
      <c r="P13" s="353"/>
      <c r="Q13" s="216"/>
      <c r="R13" s="353" t="s">
        <v>20</v>
      </c>
      <c r="S13" s="353"/>
      <c r="T13" s="353"/>
      <c r="U13" s="353"/>
    </row>
    <row r="14" spans="1:28" ht="33.75" customHeight="1" x14ac:dyDescent="0.25">
      <c r="A14" s="111"/>
      <c r="B14" s="217"/>
      <c r="C14" s="218" t="s">
        <v>41</v>
      </c>
      <c r="D14" s="219" t="s">
        <v>42</v>
      </c>
      <c r="E14" s="220" t="s">
        <v>43</v>
      </c>
      <c r="F14" s="220" t="s">
        <v>44</v>
      </c>
      <c r="G14" s="220"/>
      <c r="H14" s="218" t="s">
        <v>41</v>
      </c>
      <c r="I14" s="219" t="s">
        <v>42</v>
      </c>
      <c r="J14" s="220" t="s">
        <v>43</v>
      </c>
      <c r="K14" s="220" t="s">
        <v>44</v>
      </c>
      <c r="L14" s="220"/>
      <c r="M14" s="218" t="s">
        <v>41</v>
      </c>
      <c r="N14" s="219" t="s">
        <v>42</v>
      </c>
      <c r="O14" s="220" t="s">
        <v>43</v>
      </c>
      <c r="P14" s="220" t="s">
        <v>44</v>
      </c>
      <c r="Q14" s="220"/>
      <c r="R14" s="218" t="s">
        <v>41</v>
      </c>
      <c r="S14" s="219" t="s">
        <v>42</v>
      </c>
      <c r="T14" s="220" t="s">
        <v>43</v>
      </c>
      <c r="U14" s="220" t="s">
        <v>44</v>
      </c>
    </row>
    <row r="15" spans="1:28" ht="15" customHeight="1" x14ac:dyDescent="0.25">
      <c r="A15" s="108"/>
      <c r="B15" s="175"/>
      <c r="C15" s="175"/>
      <c r="D15" s="175"/>
      <c r="E15" s="175"/>
      <c r="F15" s="175"/>
      <c r="G15" s="175"/>
      <c r="H15" s="175"/>
      <c r="I15" s="175"/>
      <c r="J15" s="175"/>
      <c r="K15" s="175"/>
      <c r="L15" s="175"/>
      <c r="M15" s="175"/>
      <c r="N15" s="175"/>
      <c r="O15" s="175"/>
      <c r="P15" s="175"/>
      <c r="Q15" s="175"/>
      <c r="R15" s="175"/>
      <c r="S15" s="175"/>
      <c r="T15" s="175"/>
      <c r="U15" s="175"/>
    </row>
    <row r="16" spans="1:28" ht="15" customHeight="1" x14ac:dyDescent="0.25">
      <c r="A16" s="221" t="s">
        <v>93</v>
      </c>
      <c r="B16" s="175"/>
      <c r="C16" s="175"/>
      <c r="D16" s="175"/>
      <c r="E16" s="175"/>
      <c r="F16" s="175"/>
      <c r="G16" s="175"/>
      <c r="H16" s="175"/>
      <c r="I16" s="175"/>
      <c r="J16" s="175"/>
      <c r="K16" s="175"/>
      <c r="L16" s="175"/>
      <c r="M16" s="175"/>
      <c r="N16" s="175"/>
      <c r="O16" s="175"/>
      <c r="P16" s="175"/>
      <c r="Q16" s="175"/>
      <c r="R16" s="175"/>
      <c r="S16" s="175"/>
      <c r="T16" s="175"/>
      <c r="U16" s="175"/>
    </row>
    <row r="17" spans="1:21" ht="15" customHeight="1" x14ac:dyDescent="0.25">
      <c r="A17" s="221"/>
      <c r="B17" s="175"/>
      <c r="C17" s="193"/>
      <c r="D17" s="193"/>
      <c r="E17" s="193"/>
      <c r="F17" s="193"/>
      <c r="G17" s="193"/>
      <c r="H17" s="193"/>
      <c r="I17" s="193"/>
      <c r="J17" s="193"/>
      <c r="K17" s="193"/>
      <c r="L17" s="193"/>
      <c r="M17" s="193"/>
      <c r="N17" s="193"/>
      <c r="O17" s="193"/>
      <c r="P17" s="193"/>
      <c r="Q17" s="193"/>
      <c r="R17" s="193"/>
      <c r="S17" s="193"/>
      <c r="T17" s="193"/>
      <c r="U17" s="193"/>
    </row>
    <row r="18" spans="1:21" ht="15" customHeight="1" x14ac:dyDescent="0.25">
      <c r="A18" s="108" t="s">
        <v>68</v>
      </c>
      <c r="B18" s="175"/>
      <c r="C18" s="171">
        <f>INDEX('Table A2 feeder rounded values'!$C$13:$BM$46,1,'Table A2 feeder rounded values'!C$10+$AA$5)</f>
        <v>2200</v>
      </c>
      <c r="D18" s="238">
        <f>INDEX('Table A2 feeder rounded values'!$C$13:$BM$46,1,'Table A2 feeder rounded values'!D$10+$AA$5)</f>
        <v>-1</v>
      </c>
      <c r="E18" s="238">
        <f>INDEX('Table A2 feeder rounded values'!$C$13:$BM$46,1,'Table A2 feeder rounded values'!E$10+$AA$5)</f>
        <v>-1.3</v>
      </c>
      <c r="F18" s="238">
        <f>INDEX('Table A2 feeder rounded values'!$C$13:$BM$46,1,'Table A2 feeder rounded values'!F$10+$AA$5)</f>
        <v>-0.8</v>
      </c>
      <c r="G18" s="171"/>
      <c r="H18" s="171">
        <f>INDEX('Table A2 feeder rounded values'!$C$13:$BM$46,1,'Table A2 feeder rounded values'!H$10+$AA$5)</f>
        <v>800</v>
      </c>
      <c r="I18" s="238">
        <f>INDEX('Table A2 feeder rounded values'!$C$13:$BM$46,1,'Table A2 feeder rounded values'!I$10+$AA$5)</f>
        <v>-0.9</v>
      </c>
      <c r="J18" s="238">
        <f>INDEX('Table A2 feeder rounded values'!$C$13:$BM$46,1,'Table A2 feeder rounded values'!J$10+$AA$5)</f>
        <v>-1.3</v>
      </c>
      <c r="K18" s="238">
        <f>INDEX('Table A2 feeder rounded values'!$C$13:$BM$46,1,'Table A2 feeder rounded values'!K$10+$AA$5)</f>
        <v>-0.5</v>
      </c>
      <c r="L18" s="171"/>
      <c r="M18" s="171">
        <f>INDEX('Table A2 feeder rounded values'!$C$13:$BM$46,1,'Table A2 feeder rounded values'!M$10+$AA$5)</f>
        <v>340</v>
      </c>
      <c r="N18" s="238">
        <f>INDEX('Table A2 feeder rounded values'!$C$13:$BM$46,1,'Table A2 feeder rounded values'!N$10+$AA$5)</f>
        <v>-0.2</v>
      </c>
      <c r="O18" s="238">
        <f>INDEX('Table A2 feeder rounded values'!$C$13:$BM$46,1,'Table A2 feeder rounded values'!O$10+$AA$5)</f>
        <v>-0.9</v>
      </c>
      <c r="P18" s="238">
        <f>INDEX('Table A2 feeder rounded values'!$C$13:$BM$46,1,'Table A2 feeder rounded values'!P$10+$AA$5)</f>
        <v>0.5</v>
      </c>
      <c r="Q18" s="171"/>
      <c r="R18" s="171">
        <f>INDEX('Table A2 feeder rounded values'!$C$13:$BM$46,1,'Table A2 feeder rounded values'!R$10+$AA$5)</f>
        <v>3330</v>
      </c>
      <c r="S18" s="238">
        <f>INDEX('Table A2 feeder rounded values'!$C$13:$BM$46,1,'Table A2 feeder rounded values'!S$10+$AA$5)</f>
        <v>-0.9</v>
      </c>
      <c r="T18" s="238">
        <f>INDEX('Table A2 feeder rounded values'!$C$13:$BM$46,1,'Table A2 feeder rounded values'!T$10+$AA$5)</f>
        <v>-1.1000000000000001</v>
      </c>
      <c r="U18" s="238">
        <f>INDEX('Table A2 feeder rounded values'!$C$13:$BM$46,1,'Table A2 feeder rounded values'!U$10+$AA$5)</f>
        <v>-0.7</v>
      </c>
    </row>
    <row r="19" spans="1:21" ht="15" customHeight="1" x14ac:dyDescent="0.25">
      <c r="A19" s="108"/>
      <c r="B19" s="175"/>
      <c r="C19" s="222"/>
      <c r="D19" s="238"/>
      <c r="E19" s="238"/>
      <c r="F19" s="238"/>
      <c r="G19" s="222"/>
      <c r="H19" s="222"/>
      <c r="I19" s="238"/>
      <c r="J19" s="238"/>
      <c r="K19" s="238"/>
      <c r="L19" s="222"/>
      <c r="M19" s="222"/>
      <c r="N19" s="238"/>
      <c r="O19" s="238"/>
      <c r="P19" s="238"/>
      <c r="Q19" s="222"/>
      <c r="R19" s="222"/>
      <c r="S19" s="238"/>
      <c r="T19" s="238"/>
      <c r="U19" s="238"/>
    </row>
    <row r="20" spans="1:21" ht="15" customHeight="1" x14ac:dyDescent="0.25">
      <c r="A20" s="108" t="s">
        <v>96</v>
      </c>
      <c r="B20" s="175"/>
      <c r="C20" s="171">
        <f>INDEX('Table A2 feeder rounded values'!$C$13:$BM$46,3,'Table A2 feeder rounded values'!C$10+$AA$5)</f>
        <v>2270</v>
      </c>
      <c r="D20" s="238">
        <f>INDEX('Table A2 feeder rounded values'!$C$13:$BM$46,3,'Table A2 feeder rounded values'!D$10+$AA$5)</f>
        <v>-1.3</v>
      </c>
      <c r="E20" s="238">
        <f>INDEX('Table A2 feeder rounded values'!$C$13:$BM$46,3,'Table A2 feeder rounded values'!E$10+$AA$5)</f>
        <v>-1.6</v>
      </c>
      <c r="F20" s="238">
        <f>INDEX('Table A2 feeder rounded values'!$C$13:$BM$46,3,'Table A2 feeder rounded values'!F$10+$AA$5)</f>
        <v>-1.1000000000000001</v>
      </c>
      <c r="G20" s="171"/>
      <c r="H20" s="171">
        <f>INDEX('Table A2 feeder rounded values'!$C$13:$BM$46,3,'Table A2 feeder rounded values'!H$10+$AA$5)</f>
        <v>820</v>
      </c>
      <c r="I20" s="238">
        <f>INDEX('Table A2 feeder rounded values'!$C$13:$BM$46,3,'Table A2 feeder rounded values'!I$10+$AA$5)</f>
        <v>-1.1000000000000001</v>
      </c>
      <c r="J20" s="238">
        <f>INDEX('Table A2 feeder rounded values'!$C$13:$BM$46,3,'Table A2 feeder rounded values'!J$10+$AA$5)</f>
        <v>-1.5</v>
      </c>
      <c r="K20" s="238">
        <f>INDEX('Table A2 feeder rounded values'!$C$13:$BM$46,3,'Table A2 feeder rounded values'!K$10+$AA$5)</f>
        <v>-0.7</v>
      </c>
      <c r="L20" s="171"/>
      <c r="M20" s="171">
        <f>INDEX('Table A2 feeder rounded values'!$C$13:$BM$46,3,'Table A2 feeder rounded values'!M$10+$AA$5)</f>
        <v>340</v>
      </c>
      <c r="N20" s="238">
        <f>INDEX('Table A2 feeder rounded values'!$C$13:$BM$46,3,'Table A2 feeder rounded values'!N$10+$AA$5)</f>
        <v>-0.3</v>
      </c>
      <c r="O20" s="238">
        <f>INDEX('Table A2 feeder rounded values'!$C$13:$BM$46,3,'Table A2 feeder rounded values'!O$10+$AA$5)</f>
        <v>-1</v>
      </c>
      <c r="P20" s="238">
        <f>INDEX('Table A2 feeder rounded values'!$C$13:$BM$46,3,'Table A2 feeder rounded values'!P$10+$AA$5)</f>
        <v>0.3</v>
      </c>
      <c r="Q20" s="171"/>
      <c r="R20" s="171">
        <f>INDEX('Table A2 feeder rounded values'!$C$13:$BM$46,3,'Table A2 feeder rounded values'!R$10+$AA$5)</f>
        <v>3430</v>
      </c>
      <c r="S20" s="238">
        <f>INDEX('Table A2 feeder rounded values'!$C$13:$BM$46,3,'Table A2 feeder rounded values'!S$10+$AA$5)</f>
        <v>-1.2</v>
      </c>
      <c r="T20" s="238">
        <f>INDEX('Table A2 feeder rounded values'!$C$13:$BM$46,3,'Table A2 feeder rounded values'!T$10+$AA$5)</f>
        <v>-1.4</v>
      </c>
      <c r="U20" s="238">
        <f>INDEX('Table A2 feeder rounded values'!$C$13:$BM$46,3,'Table A2 feeder rounded values'!U$10+$AA$5)</f>
        <v>-1</v>
      </c>
    </row>
    <row r="21" spans="1:21" ht="15" customHeight="1" x14ac:dyDescent="0.25">
      <c r="A21" s="110"/>
      <c r="B21" s="175"/>
      <c r="C21" s="171"/>
      <c r="D21" s="238"/>
      <c r="E21" s="238"/>
      <c r="F21" s="238"/>
      <c r="G21" s="171"/>
      <c r="H21" s="171"/>
      <c r="I21" s="238"/>
      <c r="J21" s="238"/>
      <c r="K21" s="238"/>
      <c r="L21" s="171"/>
      <c r="M21" s="171"/>
      <c r="N21" s="238"/>
      <c r="O21" s="238"/>
      <c r="P21" s="238"/>
      <c r="Q21" s="171"/>
      <c r="R21" s="171"/>
      <c r="S21" s="238"/>
      <c r="T21" s="238"/>
      <c r="U21" s="238"/>
    </row>
    <row r="22" spans="1:21" ht="15" customHeight="1" x14ac:dyDescent="0.25">
      <c r="A22" s="223" t="s">
        <v>45</v>
      </c>
      <c r="B22" s="175"/>
      <c r="C22" s="171">
        <f>INDEX('Table A2 feeder rounded values'!$C$13:$BM$46,5,'Table A2 feeder rounded values'!C$10+$AA$5)</f>
        <v>1240</v>
      </c>
      <c r="D22" s="238">
        <f>INDEX('Table A2 feeder rounded values'!$C$13:$BM$46,5,'Table A2 feeder rounded values'!D$10+$AA$5)</f>
        <v>0</v>
      </c>
      <c r="E22" s="238">
        <f>INDEX('Table A2 feeder rounded values'!$C$13:$BM$46,5,'Table A2 feeder rounded values'!E$10+$AA$5)</f>
        <v>-0.4</v>
      </c>
      <c r="F22" s="238">
        <f>INDEX('Table A2 feeder rounded values'!$C$13:$BM$46,5,'Table A2 feeder rounded values'!F$10+$AA$5)</f>
        <v>0.3</v>
      </c>
      <c r="G22" s="171"/>
      <c r="H22" s="171">
        <f>INDEX('Table A2 feeder rounded values'!$C$13:$BM$46,5,'Table A2 feeder rounded values'!H$10+$AA$5)</f>
        <v>470</v>
      </c>
      <c r="I22" s="238">
        <f>INDEX('Table A2 feeder rounded values'!$C$13:$BM$46,5,'Table A2 feeder rounded values'!I$10+$AA$5)</f>
        <v>0.1</v>
      </c>
      <c r="J22" s="238">
        <f>INDEX('Table A2 feeder rounded values'!$C$13:$BM$46,5,'Table A2 feeder rounded values'!J$10+$AA$5)</f>
        <v>-0.5</v>
      </c>
      <c r="K22" s="238">
        <f>INDEX('Table A2 feeder rounded values'!$C$13:$BM$46,5,'Table A2 feeder rounded values'!K$10+$AA$5)</f>
        <v>0.6</v>
      </c>
      <c r="L22" s="171"/>
      <c r="M22" s="171">
        <f>INDEX('Table A2 feeder rounded values'!$C$13:$BM$46,5,'Table A2 feeder rounded values'!M$10+$AA$5)</f>
        <v>200</v>
      </c>
      <c r="N22" s="238">
        <f>INDEX('Table A2 feeder rounded values'!$C$13:$BM$46,5,'Table A2 feeder rounded values'!N$10+$AA$5)</f>
        <v>0.2</v>
      </c>
      <c r="O22" s="238">
        <f>INDEX('Table A2 feeder rounded values'!$C$13:$BM$46,5,'Table A2 feeder rounded values'!O$10+$AA$5)</f>
        <v>-0.7</v>
      </c>
      <c r="P22" s="238">
        <f>INDEX('Table A2 feeder rounded values'!$C$13:$BM$46,5,'Table A2 feeder rounded values'!P$10+$AA$5)</f>
        <v>1</v>
      </c>
      <c r="Q22" s="171"/>
      <c r="R22" s="171">
        <f>INDEX('Table A2 feeder rounded values'!$C$13:$BM$46,5,'Table A2 feeder rounded values'!R$10+$AA$5)</f>
        <v>1910</v>
      </c>
      <c r="S22" s="238">
        <f>INDEX('Table A2 feeder rounded values'!$C$13:$BM$46,5,'Table A2 feeder rounded values'!S$10+$AA$5)</f>
        <v>0</v>
      </c>
      <c r="T22" s="238">
        <f>INDEX('Table A2 feeder rounded values'!$C$13:$BM$46,5,'Table A2 feeder rounded values'!T$10+$AA$5)</f>
        <v>-0.3</v>
      </c>
      <c r="U22" s="238">
        <f>INDEX('Table A2 feeder rounded values'!$C$13:$BM$46,5,'Table A2 feeder rounded values'!U$10+$AA$5)</f>
        <v>0.3</v>
      </c>
    </row>
    <row r="23" spans="1:21" ht="15" customHeight="1" x14ac:dyDescent="0.25">
      <c r="A23" s="223"/>
      <c r="B23" s="175"/>
      <c r="C23" s="171"/>
      <c r="D23" s="238"/>
      <c r="E23" s="238"/>
      <c r="F23" s="238"/>
      <c r="G23" s="171"/>
      <c r="H23" s="171"/>
      <c r="I23" s="238"/>
      <c r="J23" s="238"/>
      <c r="K23" s="238"/>
      <c r="L23" s="171"/>
      <c r="M23" s="171"/>
      <c r="N23" s="238"/>
      <c r="O23" s="238"/>
      <c r="P23" s="238"/>
      <c r="Q23" s="171"/>
      <c r="R23" s="171"/>
      <c r="S23" s="238"/>
      <c r="T23" s="238"/>
      <c r="U23" s="238"/>
    </row>
    <row r="24" spans="1:21" ht="15" customHeight="1" x14ac:dyDescent="0.25">
      <c r="A24" s="223" t="s">
        <v>75</v>
      </c>
      <c r="B24" s="175"/>
      <c r="C24" s="171">
        <f>INDEX('Table A2 feeder rounded values'!$C$13:$BM$46,7,'Table A2 feeder rounded values'!C$10+$AA$5)</f>
        <v>1030</v>
      </c>
      <c r="D24" s="238">
        <f>INDEX('Table A2 feeder rounded values'!$C$13:$BM$46,7,'Table A2 feeder rounded values'!D$10+$AA$5)</f>
        <v>-2.9</v>
      </c>
      <c r="E24" s="238">
        <f>INDEX('Table A2 feeder rounded values'!$C$13:$BM$46,7,'Table A2 feeder rounded values'!E$10+$AA$5)</f>
        <v>-3.3</v>
      </c>
      <c r="F24" s="238">
        <f>INDEX('Table A2 feeder rounded values'!$C$13:$BM$46,7,'Table A2 feeder rounded values'!F$10+$AA$5)</f>
        <v>-2.5</v>
      </c>
      <c r="G24" s="171"/>
      <c r="H24" s="171">
        <f>INDEX('Table A2 feeder rounded values'!$C$13:$BM$46,7,'Table A2 feeder rounded values'!H$10+$AA$5)</f>
        <v>350</v>
      </c>
      <c r="I24" s="238">
        <f>INDEX('Table A2 feeder rounded values'!$C$13:$BM$46,7,'Table A2 feeder rounded values'!I$10+$AA$5)</f>
        <v>-2.6</v>
      </c>
      <c r="J24" s="238">
        <f>INDEX('Table A2 feeder rounded values'!$C$13:$BM$46,7,'Table A2 feeder rounded values'!J$10+$AA$5)</f>
        <v>-3.3</v>
      </c>
      <c r="K24" s="238">
        <f>INDEX('Table A2 feeder rounded values'!$C$13:$BM$46,7,'Table A2 feeder rounded values'!K$10+$AA$5)</f>
        <v>-2</v>
      </c>
      <c r="L24" s="171"/>
      <c r="M24" s="171">
        <f>INDEX('Table A2 feeder rounded values'!$C$13:$BM$46,7,'Table A2 feeder rounded values'!M$10+$AA$5)</f>
        <v>140</v>
      </c>
      <c r="N24" s="238">
        <f>INDEX('Table A2 feeder rounded values'!$C$13:$BM$46,7,'Table A2 feeder rounded values'!N$10+$AA$5)</f>
        <v>-1.1000000000000001</v>
      </c>
      <c r="O24" s="238">
        <f>INDEX('Table A2 feeder rounded values'!$C$13:$BM$46,7,'Table A2 feeder rounded values'!O$10+$AA$5)</f>
        <v>-2.1</v>
      </c>
      <c r="P24" s="238">
        <f>INDEX('Table A2 feeder rounded values'!$C$13:$BM$46,7,'Table A2 feeder rounded values'!P$10+$AA$5)</f>
        <v>0</v>
      </c>
      <c r="Q24" s="171"/>
      <c r="R24" s="171">
        <f>INDEX('Table A2 feeder rounded values'!$C$13:$BM$46,7,'Table A2 feeder rounded values'!R$10+$AA$5)</f>
        <v>1520</v>
      </c>
      <c r="S24" s="238">
        <f>INDEX('Table A2 feeder rounded values'!$C$13:$BM$46,7,'Table A2 feeder rounded values'!S$10+$AA$5)</f>
        <v>-2.7</v>
      </c>
      <c r="T24" s="238">
        <f>INDEX('Table A2 feeder rounded values'!$C$13:$BM$46,7,'Table A2 feeder rounded values'!T$10+$AA$5)</f>
        <v>-3</v>
      </c>
      <c r="U24" s="238">
        <f>INDEX('Table A2 feeder rounded values'!$C$13:$BM$46,7,'Table A2 feeder rounded values'!U$10+$AA$5)</f>
        <v>-2.2999999999999998</v>
      </c>
    </row>
    <row r="25" spans="1:21" ht="15" customHeight="1" x14ac:dyDescent="0.25">
      <c r="A25" s="223"/>
      <c r="B25" s="223" t="s">
        <v>66</v>
      </c>
      <c r="C25" s="171">
        <f>INDEX('Table A2 feeder rounded values'!$C$13:$BM$46,8,'Table A2 feeder rounded values'!C$10+$AA$5)</f>
        <v>290</v>
      </c>
      <c r="D25" s="238">
        <f>INDEX('Table A2 feeder rounded values'!$C$13:$BM$46,8,'Table A2 feeder rounded values'!D$10+$AA$5)</f>
        <v>-5.2</v>
      </c>
      <c r="E25" s="238">
        <f>INDEX('Table A2 feeder rounded values'!$C$13:$BM$46,8,'Table A2 feeder rounded values'!E$10+$AA$5)</f>
        <v>-6</v>
      </c>
      <c r="F25" s="238">
        <f>INDEX('Table A2 feeder rounded values'!$C$13:$BM$46,8,'Table A2 feeder rounded values'!F$10+$AA$5)</f>
        <v>-4.5</v>
      </c>
      <c r="G25" s="171"/>
      <c r="H25" s="171">
        <f>INDEX('Table A2 feeder rounded values'!$C$13:$BM$46,8,'Table A2 feeder rounded values'!H$10+$AA$5)</f>
        <v>70</v>
      </c>
      <c r="I25" s="238">
        <f>INDEX('Table A2 feeder rounded values'!$C$13:$BM$46,8,'Table A2 feeder rounded values'!I$10+$AA$5)</f>
        <v>-6.1</v>
      </c>
      <c r="J25" s="238">
        <f>INDEX('Table A2 feeder rounded values'!$C$13:$BM$46,8,'Table A2 feeder rounded values'!J$10+$AA$5)</f>
        <v>-7.6</v>
      </c>
      <c r="K25" s="238">
        <f>INDEX('Table A2 feeder rounded values'!$C$13:$BM$46,8,'Table A2 feeder rounded values'!K$10+$AA$5)</f>
        <v>-4.5999999999999996</v>
      </c>
      <c r="L25" s="171"/>
      <c r="M25" s="171">
        <f>INDEX('Table A2 feeder rounded values'!$C$13:$BM$46,8,'Table A2 feeder rounded values'!M$10+$AA$5)</f>
        <v>20</v>
      </c>
      <c r="N25" s="238">
        <f>INDEX('Table A2 feeder rounded values'!$C$13:$BM$46,8,'Table A2 feeder rounded values'!N$10+$AA$5)</f>
        <v>-4.8</v>
      </c>
      <c r="O25" s="238">
        <f>INDEX('Table A2 feeder rounded values'!$C$13:$BM$46,8,'Table A2 feeder rounded values'!O$10+$AA$5)</f>
        <v>-7.4</v>
      </c>
      <c r="P25" s="238">
        <f>INDEX('Table A2 feeder rounded values'!$C$13:$BM$46,8,'Table A2 feeder rounded values'!P$10+$AA$5)</f>
        <v>-2.2999999999999998</v>
      </c>
      <c r="Q25" s="171"/>
      <c r="R25" s="171">
        <f>INDEX('Table A2 feeder rounded values'!$C$13:$BM$46,8,'Table A2 feeder rounded values'!R$10+$AA$5)</f>
        <v>380</v>
      </c>
      <c r="S25" s="238">
        <f>INDEX('Table A2 feeder rounded values'!$C$13:$BM$46,8,'Table A2 feeder rounded values'!S$10+$AA$5)</f>
        <v>-5.4</v>
      </c>
      <c r="T25" s="238">
        <f>INDEX('Table A2 feeder rounded values'!$C$13:$BM$46,8,'Table A2 feeder rounded values'!T$10+$AA$5)</f>
        <v>-6</v>
      </c>
      <c r="U25" s="238">
        <f>INDEX('Table A2 feeder rounded values'!$C$13:$BM$46,8,'Table A2 feeder rounded values'!U$10+$AA$5)</f>
        <v>-4.7</v>
      </c>
    </row>
    <row r="26" spans="1:21" ht="15" customHeight="1" x14ac:dyDescent="0.25">
      <c r="A26" s="223"/>
      <c r="B26" s="223" t="s">
        <v>67</v>
      </c>
      <c r="C26" s="171">
        <f>INDEX('Table A2 feeder rounded values'!$C$13:$BM$46,9,'Table A2 feeder rounded values'!C$10+$AA$5)</f>
        <v>740</v>
      </c>
      <c r="D26" s="238">
        <f>INDEX('Table A2 feeder rounded values'!$C$13:$BM$46,9,'Table A2 feeder rounded values'!D$10+$AA$5)</f>
        <v>-2</v>
      </c>
      <c r="E26" s="238">
        <f>INDEX('Table A2 feeder rounded values'!$C$13:$BM$46,9,'Table A2 feeder rounded values'!E$10+$AA$5)</f>
        <v>-2.4</v>
      </c>
      <c r="F26" s="238">
        <f>INDEX('Table A2 feeder rounded values'!$C$13:$BM$46,9,'Table A2 feeder rounded values'!F$10+$AA$5)</f>
        <v>-1.5</v>
      </c>
      <c r="G26" s="171"/>
      <c r="H26" s="171">
        <f>INDEX('Table A2 feeder rounded values'!$C$13:$BM$46,9,'Table A2 feeder rounded values'!H$10+$AA$5)</f>
        <v>290</v>
      </c>
      <c r="I26" s="238">
        <f>INDEX('Table A2 feeder rounded values'!$C$13:$BM$46,9,'Table A2 feeder rounded values'!I$10+$AA$5)</f>
        <v>-1.8</v>
      </c>
      <c r="J26" s="238">
        <f>INDEX('Table A2 feeder rounded values'!$C$13:$BM$46,9,'Table A2 feeder rounded values'!J$10+$AA$5)</f>
        <v>-2.5</v>
      </c>
      <c r="K26" s="238">
        <f>INDEX('Table A2 feeder rounded values'!$C$13:$BM$46,9,'Table A2 feeder rounded values'!K$10+$AA$5)</f>
        <v>-1.1000000000000001</v>
      </c>
      <c r="L26" s="171"/>
      <c r="M26" s="171">
        <f>INDEX('Table A2 feeder rounded values'!$C$13:$BM$46,9,'Table A2 feeder rounded values'!M$10+$AA$5)</f>
        <v>120</v>
      </c>
      <c r="N26" s="238">
        <f>INDEX('Table A2 feeder rounded values'!$C$13:$BM$46,9,'Table A2 feeder rounded values'!N$10+$AA$5)</f>
        <v>-0.3</v>
      </c>
      <c r="O26" s="238">
        <f>INDEX('Table A2 feeder rounded values'!$C$13:$BM$46,9,'Table A2 feeder rounded values'!O$10+$AA$5)</f>
        <v>-1.4</v>
      </c>
      <c r="P26" s="238">
        <f>INDEX('Table A2 feeder rounded values'!$C$13:$BM$46,9,'Table A2 feeder rounded values'!P$10+$AA$5)</f>
        <v>0.8</v>
      </c>
      <c r="Q26" s="171"/>
      <c r="R26" s="171">
        <f>INDEX('Table A2 feeder rounded values'!$C$13:$BM$46,9,'Table A2 feeder rounded values'!R$10+$AA$5)</f>
        <v>1140</v>
      </c>
      <c r="S26" s="238">
        <f>INDEX('Table A2 feeder rounded values'!$C$13:$BM$46,9,'Table A2 feeder rounded values'!S$10+$AA$5)</f>
        <v>-1.8</v>
      </c>
      <c r="T26" s="238">
        <f>INDEX('Table A2 feeder rounded values'!$C$13:$BM$46,9,'Table A2 feeder rounded values'!T$10+$AA$5)</f>
        <v>-2.1</v>
      </c>
      <c r="U26" s="238">
        <f>INDEX('Table A2 feeder rounded values'!$C$13:$BM$46,9,'Table A2 feeder rounded values'!U$10+$AA$5)</f>
        <v>-1.4</v>
      </c>
    </row>
    <row r="27" spans="1:21" ht="15" customHeight="1" x14ac:dyDescent="0.25">
      <c r="A27" s="108"/>
      <c r="B27" s="175"/>
      <c r="C27" s="222"/>
      <c r="D27" s="174"/>
      <c r="E27" s="174"/>
      <c r="F27" s="174"/>
      <c r="G27" s="222"/>
      <c r="H27" s="222"/>
      <c r="I27" s="174"/>
      <c r="J27" s="174"/>
      <c r="K27" s="174"/>
      <c r="L27" s="222"/>
      <c r="M27" s="222"/>
      <c r="N27" s="174"/>
      <c r="O27" s="174"/>
      <c r="P27" s="174"/>
      <c r="Q27" s="222"/>
      <c r="R27" s="222"/>
      <c r="S27" s="174"/>
      <c r="T27" s="174"/>
      <c r="U27" s="174"/>
    </row>
    <row r="28" spans="1:21" ht="15" customHeight="1" x14ac:dyDescent="0.25">
      <c r="A28" s="221" t="s">
        <v>94</v>
      </c>
      <c r="B28" s="175"/>
      <c r="C28" s="222"/>
      <c r="D28" s="174"/>
      <c r="E28" s="174"/>
      <c r="F28" s="174"/>
      <c r="G28" s="222"/>
      <c r="H28" s="222"/>
      <c r="I28" s="174"/>
      <c r="J28" s="174"/>
      <c r="K28" s="174"/>
      <c r="L28" s="222"/>
      <c r="M28" s="222"/>
      <c r="N28" s="174"/>
      <c r="O28" s="174"/>
      <c r="P28" s="174"/>
      <c r="Q28" s="222"/>
      <c r="R28" s="222"/>
      <c r="S28" s="174"/>
      <c r="T28" s="174"/>
      <c r="U28" s="174"/>
    </row>
    <row r="29" spans="1:21" ht="15" customHeight="1" x14ac:dyDescent="0.25">
      <c r="A29" s="108"/>
      <c r="B29" s="175"/>
      <c r="C29" s="222"/>
      <c r="D29" s="174"/>
      <c r="E29" s="174"/>
      <c r="F29" s="174"/>
      <c r="G29" s="222"/>
      <c r="H29" s="222"/>
      <c r="I29" s="174"/>
      <c r="J29" s="174"/>
      <c r="K29" s="174"/>
      <c r="L29" s="222"/>
      <c r="M29" s="222"/>
      <c r="N29" s="174"/>
      <c r="O29" s="174"/>
      <c r="P29" s="174"/>
      <c r="Q29" s="222"/>
      <c r="R29" s="222"/>
      <c r="S29" s="174"/>
      <c r="T29" s="174"/>
      <c r="U29" s="174"/>
    </row>
    <row r="30" spans="1:21" ht="15" customHeight="1" x14ac:dyDescent="0.25">
      <c r="A30" s="108" t="s">
        <v>68</v>
      </c>
      <c r="B30" s="108"/>
      <c r="C30" s="171">
        <f>INDEX('Table A2 feeder rounded values'!$C$13:$BM$46,12+1,'Table A2 feeder rounded values'!C$10+$AA$5)</f>
        <v>2230</v>
      </c>
      <c r="D30" s="238">
        <f>INDEX('Table A2 feeder rounded values'!$C$13:$BM$46,12+1,'Table A2 feeder rounded values'!D$10+$AA$5)</f>
        <v>-2.5</v>
      </c>
      <c r="E30" s="238">
        <f>INDEX('Table A2 feeder rounded values'!$C$13:$BM$46,12+1,'Table A2 feeder rounded values'!E$10+$AA$5)</f>
        <v>-2.7</v>
      </c>
      <c r="F30" s="238">
        <f>INDEX('Table A2 feeder rounded values'!$C$13:$BM$46,12+1,'Table A2 feeder rounded values'!F$10+$AA$5)</f>
        <v>-2.2000000000000002</v>
      </c>
      <c r="G30" s="171"/>
      <c r="H30" s="171">
        <f>INDEX('Table A2 feeder rounded values'!$C$13:$BM$46,12+1,'Table A2 feeder rounded values'!H$10+$AA$5)</f>
        <v>820</v>
      </c>
      <c r="I30" s="238">
        <f>INDEX('Table A2 feeder rounded values'!$C$13:$BM$46,12+1,'Table A2 feeder rounded values'!I$10+$AA$5)</f>
        <v>-1.1000000000000001</v>
      </c>
      <c r="J30" s="238">
        <f>INDEX('Table A2 feeder rounded values'!$C$13:$BM$46,12+1,'Table A2 feeder rounded values'!J$10+$AA$5)</f>
        <v>-1.6</v>
      </c>
      <c r="K30" s="238">
        <f>INDEX('Table A2 feeder rounded values'!$C$13:$BM$46,12+1,'Table A2 feeder rounded values'!K$10+$AA$5)</f>
        <v>-0.7</v>
      </c>
      <c r="L30" s="171"/>
      <c r="M30" s="171">
        <f>INDEX('Table A2 feeder rounded values'!$C$13:$BM$46,12+1,'Table A2 feeder rounded values'!M$10+$AA$5)</f>
        <v>350</v>
      </c>
      <c r="N30" s="238">
        <f>INDEX('Table A2 feeder rounded values'!$C$13:$BM$46,12+1,'Table A2 feeder rounded values'!N$10+$AA$5)</f>
        <v>-0.6</v>
      </c>
      <c r="O30" s="238">
        <f>INDEX('Table A2 feeder rounded values'!$C$13:$BM$46,12+1,'Table A2 feeder rounded values'!O$10+$AA$5)</f>
        <v>-1.3</v>
      </c>
      <c r="P30" s="238">
        <f>INDEX('Table A2 feeder rounded values'!$C$13:$BM$46,12+1,'Table A2 feeder rounded values'!P$10+$AA$5)</f>
        <v>0.1</v>
      </c>
      <c r="Q30" s="171"/>
      <c r="R30" s="171">
        <f>INDEX('Table A2 feeder rounded values'!$C$13:$BM$46,12+1,'Table A2 feeder rounded values'!R$10+$AA$5)</f>
        <v>3400</v>
      </c>
      <c r="S30" s="238">
        <f>INDEX('Table A2 feeder rounded values'!$C$13:$BM$46,12+1,'Table A2 feeder rounded values'!S$10+$AA$5)</f>
        <v>-2</v>
      </c>
      <c r="T30" s="238">
        <f>INDEX('Table A2 feeder rounded values'!$C$13:$BM$46,12+1,'Table A2 feeder rounded values'!T$10+$AA$5)</f>
        <v>-2.2000000000000002</v>
      </c>
      <c r="U30" s="238">
        <f>INDEX('Table A2 feeder rounded values'!$C$13:$BM$46,12+1,'Table A2 feeder rounded values'!U$10+$AA$5)</f>
        <v>-1.7</v>
      </c>
    </row>
    <row r="31" spans="1:21" ht="15" customHeight="1" x14ac:dyDescent="0.25">
      <c r="A31" s="108"/>
      <c r="B31" s="175"/>
      <c r="C31" s="222"/>
      <c r="D31" s="238"/>
      <c r="E31" s="238"/>
      <c r="F31" s="238"/>
      <c r="G31" s="222"/>
      <c r="H31" s="222"/>
      <c r="I31" s="238"/>
      <c r="J31" s="238"/>
      <c r="K31" s="238"/>
      <c r="L31" s="222"/>
      <c r="M31" s="222"/>
      <c r="N31" s="238"/>
      <c r="O31" s="238"/>
      <c r="P31" s="238"/>
      <c r="Q31" s="222"/>
      <c r="R31" s="222"/>
      <c r="S31" s="238"/>
      <c r="T31" s="238"/>
      <c r="U31" s="238"/>
    </row>
    <row r="32" spans="1:21" ht="15" customHeight="1" x14ac:dyDescent="0.25">
      <c r="A32" s="108" t="s">
        <v>96</v>
      </c>
      <c r="B32" s="175"/>
      <c r="C32" s="171">
        <f>INDEX('Table A2 feeder rounded values'!$C$13:$BM$46,12+3,'Table A2 feeder rounded values'!C$10+$AA$5)</f>
        <v>2310</v>
      </c>
      <c r="D32" s="238">
        <f>INDEX('Table A2 feeder rounded values'!$C$13:$BM$46,12+3,'Table A2 feeder rounded values'!D$10+$AA$5)</f>
        <v>-2.7</v>
      </c>
      <c r="E32" s="238">
        <f>INDEX('Table A2 feeder rounded values'!$C$13:$BM$46,12+3,'Table A2 feeder rounded values'!E$10+$AA$5)</f>
        <v>-3</v>
      </c>
      <c r="F32" s="238">
        <f>INDEX('Table A2 feeder rounded values'!$C$13:$BM$46,12+3,'Table A2 feeder rounded values'!F$10+$AA$5)</f>
        <v>-2.5</v>
      </c>
      <c r="G32" s="171"/>
      <c r="H32" s="171">
        <f>INDEX('Table A2 feeder rounded values'!$C$13:$BM$46,12+3,'Table A2 feeder rounded values'!H$10+$AA$5)</f>
        <v>840</v>
      </c>
      <c r="I32" s="238">
        <f>INDEX('Table A2 feeder rounded values'!$C$13:$BM$46,12+3,'Table A2 feeder rounded values'!I$10+$AA$5)</f>
        <v>-1.3</v>
      </c>
      <c r="J32" s="238">
        <f>INDEX('Table A2 feeder rounded values'!$C$13:$BM$46,12+3,'Table A2 feeder rounded values'!J$10+$AA$5)</f>
        <v>-1.7</v>
      </c>
      <c r="K32" s="238">
        <f>INDEX('Table A2 feeder rounded values'!$C$13:$BM$46,12+3,'Table A2 feeder rounded values'!K$10+$AA$5)</f>
        <v>-0.9</v>
      </c>
      <c r="L32" s="171"/>
      <c r="M32" s="171">
        <f>INDEX('Table A2 feeder rounded values'!$C$13:$BM$46,12+3,'Table A2 feeder rounded values'!M$10+$AA$5)</f>
        <v>350</v>
      </c>
      <c r="N32" s="238">
        <f>INDEX('Table A2 feeder rounded values'!$C$13:$BM$46,12+3,'Table A2 feeder rounded values'!N$10+$AA$5)</f>
        <v>-0.7</v>
      </c>
      <c r="O32" s="238">
        <f>INDEX('Table A2 feeder rounded values'!$C$13:$BM$46,12+3,'Table A2 feeder rounded values'!O$10+$AA$5)</f>
        <v>-1.4</v>
      </c>
      <c r="P32" s="238">
        <f>INDEX('Table A2 feeder rounded values'!$C$13:$BM$46,12+3,'Table A2 feeder rounded values'!P$10+$AA$5)</f>
        <v>-0.1</v>
      </c>
      <c r="Q32" s="171"/>
      <c r="R32" s="171">
        <f>INDEX('Table A2 feeder rounded values'!$C$13:$BM$46,12+3,'Table A2 feeder rounded values'!R$10+$AA$5)</f>
        <v>3500</v>
      </c>
      <c r="S32" s="238">
        <f>INDEX('Table A2 feeder rounded values'!$C$13:$BM$46,12+3,'Table A2 feeder rounded values'!S$10+$AA$5)</f>
        <v>-2.2000000000000002</v>
      </c>
      <c r="T32" s="238">
        <f>INDEX('Table A2 feeder rounded values'!$C$13:$BM$46,12+3,'Table A2 feeder rounded values'!T$10+$AA$5)</f>
        <v>-2.4</v>
      </c>
      <c r="U32" s="238">
        <f>INDEX('Table A2 feeder rounded values'!$C$13:$BM$46,12+3,'Table A2 feeder rounded values'!U$10+$AA$5)</f>
        <v>-2</v>
      </c>
    </row>
    <row r="33" spans="1:28" ht="15" customHeight="1" x14ac:dyDescent="0.25">
      <c r="A33" s="110"/>
      <c r="B33" s="175"/>
      <c r="C33" s="171"/>
      <c r="D33" s="238"/>
      <c r="E33" s="238"/>
      <c r="F33" s="238"/>
      <c r="G33" s="171"/>
      <c r="H33" s="171"/>
      <c r="I33" s="238"/>
      <c r="J33" s="238"/>
      <c r="K33" s="238"/>
      <c r="L33" s="171"/>
      <c r="M33" s="171"/>
      <c r="N33" s="238"/>
      <c r="O33" s="238"/>
      <c r="P33" s="238"/>
      <c r="Q33" s="171"/>
      <c r="R33" s="171"/>
      <c r="S33" s="238"/>
      <c r="T33" s="238"/>
      <c r="U33" s="238"/>
    </row>
    <row r="34" spans="1:28" ht="15" customHeight="1" x14ac:dyDescent="0.25">
      <c r="A34" s="223" t="s">
        <v>45</v>
      </c>
      <c r="B34" s="175"/>
      <c r="C34" s="171">
        <f>INDEX('Table A2 feeder rounded values'!$C$13:$BM$46,12+5,'Table A2 feeder rounded values'!C$10+$AA$5)</f>
        <v>1240</v>
      </c>
      <c r="D34" s="238">
        <f>INDEX('Table A2 feeder rounded values'!$C$13:$BM$46,12+5,'Table A2 feeder rounded values'!D$10+$AA$5)</f>
        <v>-1</v>
      </c>
      <c r="E34" s="238">
        <f>INDEX('Table A2 feeder rounded values'!$C$13:$BM$46,12+5,'Table A2 feeder rounded values'!E$10+$AA$5)</f>
        <v>-1.3</v>
      </c>
      <c r="F34" s="238">
        <f>INDEX('Table A2 feeder rounded values'!$C$13:$BM$46,12+5,'Table A2 feeder rounded values'!F$10+$AA$5)</f>
        <v>-0.6</v>
      </c>
      <c r="G34" s="171"/>
      <c r="H34" s="171">
        <f>INDEX('Table A2 feeder rounded values'!$C$13:$BM$46,12+5,'Table A2 feeder rounded values'!H$10+$AA$5)</f>
        <v>470</v>
      </c>
      <c r="I34" s="238">
        <f>INDEX('Table A2 feeder rounded values'!$C$13:$BM$46,12+5,'Table A2 feeder rounded values'!I$10+$AA$5)</f>
        <v>0.1</v>
      </c>
      <c r="J34" s="238">
        <f>INDEX('Table A2 feeder rounded values'!$C$13:$BM$46,12+5,'Table A2 feeder rounded values'!J$10+$AA$5)</f>
        <v>-0.5</v>
      </c>
      <c r="K34" s="238">
        <f>INDEX('Table A2 feeder rounded values'!$C$13:$BM$46,12+5,'Table A2 feeder rounded values'!K$10+$AA$5)</f>
        <v>0.7</v>
      </c>
      <c r="L34" s="171"/>
      <c r="M34" s="171">
        <f>INDEX('Table A2 feeder rounded values'!$C$13:$BM$46,12+5,'Table A2 feeder rounded values'!M$10+$AA$5)</f>
        <v>200</v>
      </c>
      <c r="N34" s="238">
        <f>INDEX('Table A2 feeder rounded values'!$C$13:$BM$46,12+5,'Table A2 feeder rounded values'!N$10+$AA$5)</f>
        <v>0.9</v>
      </c>
      <c r="O34" s="238">
        <f>INDEX('Table A2 feeder rounded values'!$C$13:$BM$46,12+5,'Table A2 feeder rounded values'!O$10+$AA$5)</f>
        <v>0</v>
      </c>
      <c r="P34" s="238">
        <f>INDEX('Table A2 feeder rounded values'!$C$13:$BM$46,12+5,'Table A2 feeder rounded values'!P$10+$AA$5)</f>
        <v>1.8</v>
      </c>
      <c r="Q34" s="171"/>
      <c r="R34" s="171">
        <f>INDEX('Table A2 feeder rounded values'!$C$13:$BM$46,12+5,'Table A2 feeder rounded values'!R$10+$AA$5)</f>
        <v>1920</v>
      </c>
      <c r="S34" s="238">
        <f>INDEX('Table A2 feeder rounded values'!$C$13:$BM$46,12+5,'Table A2 feeder rounded values'!S$10+$AA$5)</f>
        <v>-0.5</v>
      </c>
      <c r="T34" s="238">
        <f>INDEX('Table A2 feeder rounded values'!$C$13:$BM$46,12+5,'Table A2 feeder rounded values'!T$10+$AA$5)</f>
        <v>-0.8</v>
      </c>
      <c r="U34" s="238">
        <f>INDEX('Table A2 feeder rounded values'!$C$13:$BM$46,12+5,'Table A2 feeder rounded values'!U$10+$AA$5)</f>
        <v>-0.2</v>
      </c>
    </row>
    <row r="35" spans="1:28" ht="15" customHeight="1" x14ac:dyDescent="0.25">
      <c r="A35" s="223"/>
      <c r="B35" s="175"/>
      <c r="C35" s="171"/>
      <c r="D35" s="238"/>
      <c r="E35" s="238"/>
      <c r="F35" s="238"/>
      <c r="G35" s="171"/>
      <c r="H35" s="171"/>
      <c r="I35" s="238"/>
      <c r="J35" s="238"/>
      <c r="K35" s="238"/>
      <c r="L35" s="171"/>
      <c r="M35" s="171"/>
      <c r="N35" s="238"/>
      <c r="O35" s="238"/>
      <c r="P35" s="238"/>
      <c r="Q35" s="171"/>
      <c r="R35" s="171"/>
      <c r="S35" s="238"/>
      <c r="T35" s="238"/>
      <c r="U35" s="238"/>
    </row>
    <row r="36" spans="1:28" ht="15" customHeight="1" x14ac:dyDescent="0.25">
      <c r="A36" s="223" t="s">
        <v>75</v>
      </c>
      <c r="B36" s="175"/>
      <c r="C36" s="171">
        <f>INDEX('Table A2 feeder rounded values'!$C$13:$BM$46,12+7,'Table A2 feeder rounded values'!C$10+$AA$5)</f>
        <v>1060</v>
      </c>
      <c r="D36" s="238">
        <f>INDEX('Table A2 feeder rounded values'!$C$13:$BM$46,12+7,'Table A2 feeder rounded values'!D$10+$AA$5)</f>
        <v>-4.8</v>
      </c>
      <c r="E36" s="238">
        <f>INDEX('Table A2 feeder rounded values'!$C$13:$BM$46,12+7,'Table A2 feeder rounded values'!E$10+$AA$5)</f>
        <v>-5.0999999999999996</v>
      </c>
      <c r="F36" s="238">
        <f>INDEX('Table A2 feeder rounded values'!$C$13:$BM$46,12+7,'Table A2 feeder rounded values'!F$10+$AA$5)</f>
        <v>-4.4000000000000004</v>
      </c>
      <c r="G36" s="171"/>
      <c r="H36" s="171">
        <f>INDEX('Table A2 feeder rounded values'!$C$13:$BM$46,12+7,'Table A2 feeder rounded values'!H$10+$AA$5)</f>
        <v>370</v>
      </c>
      <c r="I36" s="238">
        <f>INDEX('Table A2 feeder rounded values'!$C$13:$BM$46,12+7,'Table A2 feeder rounded values'!I$10+$AA$5)</f>
        <v>-3</v>
      </c>
      <c r="J36" s="238">
        <f>INDEX('Table A2 feeder rounded values'!$C$13:$BM$46,12+7,'Table A2 feeder rounded values'!J$10+$AA$5)</f>
        <v>-3.6</v>
      </c>
      <c r="K36" s="238">
        <f>INDEX('Table A2 feeder rounded values'!$C$13:$BM$46,12+7,'Table A2 feeder rounded values'!K$10+$AA$5)</f>
        <v>-2.2999999999999998</v>
      </c>
      <c r="L36" s="171"/>
      <c r="M36" s="171">
        <f>INDEX('Table A2 feeder rounded values'!$C$13:$BM$46,12+7,'Table A2 feeder rounded values'!M$10+$AA$5)</f>
        <v>150</v>
      </c>
      <c r="N36" s="238">
        <f>INDEX('Table A2 feeder rounded values'!$C$13:$BM$46,12+7,'Table A2 feeder rounded values'!N$10+$AA$5)</f>
        <v>-2.9</v>
      </c>
      <c r="O36" s="238">
        <f>INDEX('Table A2 feeder rounded values'!$C$13:$BM$46,12+7,'Table A2 feeder rounded values'!O$10+$AA$5)</f>
        <v>-3.9</v>
      </c>
      <c r="P36" s="238">
        <f>INDEX('Table A2 feeder rounded values'!$C$13:$BM$46,12+7,'Table A2 feeder rounded values'!P$10+$AA$5)</f>
        <v>-1.9</v>
      </c>
      <c r="Q36" s="171"/>
      <c r="R36" s="171">
        <f>INDEX('Table A2 feeder rounded values'!$C$13:$BM$46,12+7,'Table A2 feeder rounded values'!R$10+$AA$5)</f>
        <v>1590</v>
      </c>
      <c r="S36" s="238">
        <f>INDEX('Table A2 feeder rounded values'!$C$13:$BM$46,12+7,'Table A2 feeder rounded values'!S$10+$AA$5)</f>
        <v>-4.2</v>
      </c>
      <c r="T36" s="238">
        <f>INDEX('Table A2 feeder rounded values'!$C$13:$BM$46,12+7,'Table A2 feeder rounded values'!T$10+$AA$5)</f>
        <v>-4.5</v>
      </c>
      <c r="U36" s="238">
        <f>INDEX('Table A2 feeder rounded values'!$C$13:$BM$46,12+7,'Table A2 feeder rounded values'!U$10+$AA$5)</f>
        <v>-3.9</v>
      </c>
    </row>
    <row r="37" spans="1:28" ht="15" customHeight="1" x14ac:dyDescent="0.25">
      <c r="A37" s="223"/>
      <c r="B37" s="223" t="s">
        <v>66</v>
      </c>
      <c r="C37" s="171">
        <f>INDEX('Table A2 feeder rounded values'!$C$13:$BM$46,12+8,'Table A2 feeder rounded values'!C$10+$AA$5)</f>
        <v>300</v>
      </c>
      <c r="D37" s="238">
        <f>INDEX('Table A2 feeder rounded values'!$C$13:$BM$46,12+8,'Table A2 feeder rounded values'!D$10+$AA$5)</f>
        <v>-7</v>
      </c>
      <c r="E37" s="238">
        <f>INDEX('Table A2 feeder rounded values'!$C$13:$BM$46,12+8,'Table A2 feeder rounded values'!E$10+$AA$5)</f>
        <v>-7.7</v>
      </c>
      <c r="F37" s="238">
        <f>INDEX('Table A2 feeder rounded values'!$C$13:$BM$46,12+8,'Table A2 feeder rounded values'!F$10+$AA$5)</f>
        <v>-6.3</v>
      </c>
      <c r="G37" s="171"/>
      <c r="H37" s="171">
        <f>INDEX('Table A2 feeder rounded values'!$C$13:$BM$46,12+8,'Table A2 feeder rounded values'!H$10+$AA$5)</f>
        <v>80</v>
      </c>
      <c r="I37" s="238">
        <f>INDEX('Table A2 feeder rounded values'!$C$13:$BM$46,12+8,'Table A2 feeder rounded values'!I$10+$AA$5)</f>
        <v>-5.4</v>
      </c>
      <c r="J37" s="238">
        <f>INDEX('Table A2 feeder rounded values'!$C$13:$BM$46,12+8,'Table A2 feeder rounded values'!J$10+$AA$5)</f>
        <v>-6.8</v>
      </c>
      <c r="K37" s="238">
        <f>INDEX('Table A2 feeder rounded values'!$C$13:$BM$46,12+8,'Table A2 feeder rounded values'!K$10+$AA$5)</f>
        <v>-3.9</v>
      </c>
      <c r="L37" s="171"/>
      <c r="M37" s="171">
        <f>INDEX('Table A2 feeder rounded values'!$C$13:$BM$46,12+8,'Table A2 feeder rounded values'!M$10+$AA$5)</f>
        <v>30</v>
      </c>
      <c r="N37" s="238">
        <f>INDEX('Table A2 feeder rounded values'!$C$13:$BM$46,12+8,'Table A2 feeder rounded values'!N$10+$AA$5)</f>
        <v>-6.4</v>
      </c>
      <c r="O37" s="238">
        <f>INDEX('Table A2 feeder rounded values'!$C$13:$BM$46,12+8,'Table A2 feeder rounded values'!O$10+$AA$5)</f>
        <v>-8.9</v>
      </c>
      <c r="P37" s="238">
        <f>INDEX('Table A2 feeder rounded values'!$C$13:$BM$46,12+8,'Table A2 feeder rounded values'!P$10+$AA$5)</f>
        <v>-4</v>
      </c>
      <c r="Q37" s="171"/>
      <c r="R37" s="171">
        <f>INDEX('Table A2 feeder rounded values'!$C$13:$BM$46,12+8,'Table A2 feeder rounded values'!R$10+$AA$5)</f>
        <v>400</v>
      </c>
      <c r="S37" s="238">
        <f>INDEX('Table A2 feeder rounded values'!$C$13:$BM$46,12+8,'Table A2 feeder rounded values'!S$10+$AA$5)</f>
        <v>-6.6</v>
      </c>
      <c r="T37" s="238">
        <f>INDEX('Table A2 feeder rounded values'!$C$13:$BM$46,12+8,'Table A2 feeder rounded values'!T$10+$AA$5)</f>
        <v>-7.3</v>
      </c>
      <c r="U37" s="238">
        <f>INDEX('Table A2 feeder rounded values'!$C$13:$BM$46,12+8,'Table A2 feeder rounded values'!U$10+$AA$5)</f>
        <v>-6</v>
      </c>
    </row>
    <row r="38" spans="1:28" ht="15" customHeight="1" x14ac:dyDescent="0.25">
      <c r="A38" s="223"/>
      <c r="B38" s="223" t="s">
        <v>67</v>
      </c>
      <c r="C38" s="171">
        <f>INDEX('Table A2 feeder rounded values'!$C$13:$BM$46,12+9,'Table A2 feeder rounded values'!C$10+$AA$5)</f>
        <v>760</v>
      </c>
      <c r="D38" s="238">
        <f>INDEX('Table A2 feeder rounded values'!$C$13:$BM$46,12+9,'Table A2 feeder rounded values'!D$10+$AA$5)</f>
        <v>-3.9</v>
      </c>
      <c r="E38" s="238">
        <f>INDEX('Table A2 feeder rounded values'!$C$13:$BM$46,12+9,'Table A2 feeder rounded values'!E$10+$AA$5)</f>
        <v>-4.3</v>
      </c>
      <c r="F38" s="238">
        <f>INDEX('Table A2 feeder rounded values'!$C$13:$BM$46,12+9,'Table A2 feeder rounded values'!F$10+$AA$5)</f>
        <v>-3.4</v>
      </c>
      <c r="G38" s="171"/>
      <c r="H38" s="171">
        <f>INDEX('Table A2 feeder rounded values'!$C$13:$BM$46,12+9,'Table A2 feeder rounded values'!H$10+$AA$5)</f>
        <v>300</v>
      </c>
      <c r="I38" s="238">
        <f>INDEX('Table A2 feeder rounded values'!$C$13:$BM$46,12+9,'Table A2 feeder rounded values'!I$10+$AA$5)</f>
        <v>-2.4</v>
      </c>
      <c r="J38" s="238">
        <f>INDEX('Table A2 feeder rounded values'!$C$13:$BM$46,12+9,'Table A2 feeder rounded values'!J$10+$AA$5)</f>
        <v>-3.1</v>
      </c>
      <c r="K38" s="238">
        <f>INDEX('Table A2 feeder rounded values'!$C$13:$BM$46,12+9,'Table A2 feeder rounded values'!K$10+$AA$5)</f>
        <v>-1.7</v>
      </c>
      <c r="L38" s="171"/>
      <c r="M38" s="171">
        <f>INDEX('Table A2 feeder rounded values'!$C$13:$BM$46,12+9,'Table A2 feeder rounded values'!M$10+$AA$5)</f>
        <v>130</v>
      </c>
      <c r="N38" s="238">
        <f>INDEX('Table A2 feeder rounded values'!$C$13:$BM$46,12+9,'Table A2 feeder rounded values'!N$10+$AA$5)</f>
        <v>-2.2000000000000002</v>
      </c>
      <c r="O38" s="238">
        <f>INDEX('Table A2 feeder rounded values'!$C$13:$BM$46,12+9,'Table A2 feeder rounded values'!O$10+$AA$5)</f>
        <v>-3.3</v>
      </c>
      <c r="P38" s="238">
        <f>INDEX('Table A2 feeder rounded values'!$C$13:$BM$46,12+9,'Table A2 feeder rounded values'!P$10+$AA$5)</f>
        <v>-1.1000000000000001</v>
      </c>
      <c r="Q38" s="171"/>
      <c r="R38" s="171">
        <f>INDEX('Table A2 feeder rounded values'!$C$13:$BM$46,12+9,'Table A2 feeder rounded values'!R$10+$AA$5)</f>
        <v>1180</v>
      </c>
      <c r="S38" s="238">
        <f>INDEX('Table A2 feeder rounded values'!$C$13:$BM$46,12+9,'Table A2 feeder rounded values'!S$10+$AA$5)</f>
        <v>-3.3</v>
      </c>
      <c r="T38" s="238">
        <f>INDEX('Table A2 feeder rounded values'!$C$13:$BM$46,12+9,'Table A2 feeder rounded values'!T$10+$AA$5)</f>
        <v>-3.7</v>
      </c>
      <c r="U38" s="238">
        <f>INDEX('Table A2 feeder rounded values'!$C$13:$BM$46,12+9,'Table A2 feeder rounded values'!U$10+$AA$5)</f>
        <v>-3</v>
      </c>
    </row>
    <row r="39" spans="1:28" ht="15" customHeight="1" x14ac:dyDescent="0.25">
      <c r="A39" s="223"/>
      <c r="B39" s="223"/>
      <c r="C39" s="171"/>
      <c r="D39" s="239"/>
      <c r="E39" s="239"/>
      <c r="F39" s="239"/>
      <c r="G39" s="171"/>
      <c r="H39" s="171"/>
      <c r="I39" s="239"/>
      <c r="J39" s="239"/>
      <c r="K39" s="239"/>
      <c r="L39" s="171"/>
      <c r="M39" s="171"/>
      <c r="N39" s="239"/>
      <c r="O39" s="239"/>
      <c r="P39" s="239"/>
      <c r="Q39" s="171"/>
      <c r="R39" s="171"/>
      <c r="S39" s="239"/>
      <c r="T39" s="239"/>
      <c r="U39" s="239"/>
    </row>
    <row r="40" spans="1:28" ht="15" customHeight="1" x14ac:dyDescent="0.25">
      <c r="A40" s="221" t="s">
        <v>95</v>
      </c>
      <c r="B40" s="175"/>
      <c r="C40" s="222"/>
      <c r="D40" s="174"/>
      <c r="E40" s="174"/>
      <c r="F40" s="174"/>
      <c r="G40" s="222"/>
      <c r="H40" s="222"/>
      <c r="I40" s="174"/>
      <c r="J40" s="174"/>
      <c r="K40" s="174"/>
      <c r="L40" s="222"/>
      <c r="M40" s="222"/>
      <c r="N40" s="174"/>
      <c r="O40" s="174"/>
      <c r="P40" s="174"/>
      <c r="Q40" s="222"/>
      <c r="R40" s="222"/>
      <c r="S40" s="174"/>
      <c r="T40" s="174"/>
      <c r="U40" s="174"/>
    </row>
    <row r="41" spans="1:28" ht="15" customHeight="1" x14ac:dyDescent="0.25">
      <c r="A41" s="108"/>
      <c r="B41" s="175"/>
      <c r="C41" s="222"/>
      <c r="D41" s="174"/>
      <c r="E41" s="174"/>
      <c r="F41" s="174"/>
      <c r="G41" s="222"/>
      <c r="H41" s="222"/>
      <c r="I41" s="174"/>
      <c r="J41" s="174"/>
      <c r="K41" s="174"/>
      <c r="L41" s="222"/>
      <c r="M41" s="222"/>
      <c r="N41" s="174"/>
      <c r="O41" s="174"/>
      <c r="P41" s="174"/>
      <c r="Q41" s="222"/>
      <c r="R41" s="222"/>
      <c r="S41" s="174"/>
      <c r="T41" s="174"/>
      <c r="U41" s="174"/>
    </row>
    <row r="42" spans="1:28" ht="15" customHeight="1" x14ac:dyDescent="0.25">
      <c r="A42" s="108" t="s">
        <v>68</v>
      </c>
      <c r="B42" s="175"/>
      <c r="C42" s="171">
        <f>INDEX('Table A2 feeder rounded values'!$C$13:$BM$46,24+1,'Table A2 feeder rounded values'!C$10+$AA$5)</f>
        <v>2200</v>
      </c>
      <c r="D42" s="238">
        <f>INDEX('Table A2 feeder rounded values'!$C$13:$BM$46,24+1,'Table A2 feeder rounded values'!D$10+$AA$5)</f>
        <v>-2.7</v>
      </c>
      <c r="E42" s="238">
        <f>INDEX('Table A2 feeder rounded values'!$C$13:$BM$46,24+1,'Table A2 feeder rounded values'!E$10+$AA$5)</f>
        <v>-2.9</v>
      </c>
      <c r="F42" s="238">
        <f>INDEX('Table A2 feeder rounded values'!$C$13:$BM$46,24+1,'Table A2 feeder rounded values'!F$10+$AA$5)</f>
        <v>-2.4</v>
      </c>
      <c r="G42" s="171"/>
      <c r="H42" s="171">
        <f>INDEX('Table A2 feeder rounded values'!$C$13:$BM$46,24+1,'Table A2 feeder rounded values'!H$10+$AA$5)</f>
        <v>810</v>
      </c>
      <c r="I42" s="238">
        <f>INDEX('Table A2 feeder rounded values'!$C$13:$BM$46,24+1,'Table A2 feeder rounded values'!I$10+$AA$5)</f>
        <v>-1.4</v>
      </c>
      <c r="J42" s="238">
        <f>INDEX('Table A2 feeder rounded values'!$C$13:$BM$46,24+1,'Table A2 feeder rounded values'!J$10+$AA$5)</f>
        <v>-1.8</v>
      </c>
      <c r="K42" s="238">
        <f>INDEX('Table A2 feeder rounded values'!$C$13:$BM$46,24+1,'Table A2 feeder rounded values'!K$10+$AA$5)</f>
        <v>-1</v>
      </c>
      <c r="L42" s="171"/>
      <c r="M42" s="171">
        <f>INDEX('Table A2 feeder rounded values'!$C$13:$BM$46,24+1,'Table A2 feeder rounded values'!M$10+$AA$5)</f>
        <v>340</v>
      </c>
      <c r="N42" s="238">
        <f>INDEX('Table A2 feeder rounded values'!$C$13:$BM$46,24+1,'Table A2 feeder rounded values'!N$10+$AA$5)</f>
        <v>-1</v>
      </c>
      <c r="O42" s="238">
        <f>INDEX('Table A2 feeder rounded values'!$C$13:$BM$46,24+1,'Table A2 feeder rounded values'!O$10+$AA$5)</f>
        <v>-1.5</v>
      </c>
      <c r="P42" s="238">
        <f>INDEX('Table A2 feeder rounded values'!$C$13:$BM$46,24+1,'Table A2 feeder rounded values'!P$10+$AA$5)</f>
        <v>-0.4</v>
      </c>
      <c r="Q42" s="171"/>
      <c r="R42" s="171">
        <f>INDEX('Table A2 feeder rounded values'!$C$13:$BM$46,24+1,'Table A2 feeder rounded values'!R$10+$AA$5)</f>
        <v>3350</v>
      </c>
      <c r="S42" s="238">
        <f>INDEX('Table A2 feeder rounded values'!$C$13:$BM$46,24+1,'Table A2 feeder rounded values'!S$10+$AA$5)</f>
        <v>-2.2000000000000002</v>
      </c>
      <c r="T42" s="238">
        <f>INDEX('Table A2 feeder rounded values'!$C$13:$BM$46,24+1,'Table A2 feeder rounded values'!T$10+$AA$5)</f>
        <v>-2.4</v>
      </c>
      <c r="U42" s="238">
        <f>INDEX('Table A2 feeder rounded values'!$C$13:$BM$46,24+1,'Table A2 feeder rounded values'!U$10+$AA$5)</f>
        <v>-2</v>
      </c>
    </row>
    <row r="43" spans="1:28" s="31" customFormat="1" ht="15" customHeight="1" x14ac:dyDescent="0.25">
      <c r="A43" s="221"/>
      <c r="B43" s="175"/>
      <c r="C43" s="222"/>
      <c r="D43" s="238"/>
      <c r="E43" s="238"/>
      <c r="F43" s="238"/>
      <c r="G43" s="222"/>
      <c r="H43" s="222"/>
      <c r="I43" s="238"/>
      <c r="J43" s="238"/>
      <c r="K43" s="238"/>
      <c r="L43" s="222"/>
      <c r="M43" s="222"/>
      <c r="N43" s="238"/>
      <c r="O43" s="238"/>
      <c r="P43" s="238"/>
      <c r="Q43" s="222"/>
      <c r="R43" s="222"/>
      <c r="S43" s="238"/>
      <c r="T43" s="238"/>
      <c r="U43" s="238"/>
      <c r="V43" s="7"/>
      <c r="W43" s="7"/>
      <c r="X43" s="7"/>
      <c r="Y43" s="7"/>
      <c r="Z43" s="7"/>
      <c r="AA43" s="7"/>
      <c r="AB43" s="7"/>
    </row>
    <row r="44" spans="1:28" s="31" customFormat="1" ht="15" customHeight="1" x14ac:dyDescent="0.25">
      <c r="A44" s="108" t="s">
        <v>96</v>
      </c>
      <c r="B44" s="175"/>
      <c r="C44" s="171">
        <f>INDEX('Table A2 feeder rounded values'!$C$13:$BM$46,24+3,'Table A2 feeder rounded values'!C$10+$AA$5)</f>
        <v>2270</v>
      </c>
      <c r="D44" s="238">
        <f>INDEX('Table A2 feeder rounded values'!$C$13:$BM$46,24+3,'Table A2 feeder rounded values'!D$10+$AA$5)</f>
        <v>-2.9</v>
      </c>
      <c r="E44" s="238">
        <f>INDEX('Table A2 feeder rounded values'!$C$13:$BM$46,24+3,'Table A2 feeder rounded values'!E$10+$AA$5)</f>
        <v>-3.2</v>
      </c>
      <c r="F44" s="238">
        <f>INDEX('Table A2 feeder rounded values'!$C$13:$BM$46,24+3,'Table A2 feeder rounded values'!F$10+$AA$5)</f>
        <v>-2.7</v>
      </c>
      <c r="G44" s="171"/>
      <c r="H44" s="171">
        <f>INDEX('Table A2 feeder rounded values'!$C$13:$BM$46,24+3,'Table A2 feeder rounded values'!H$10+$AA$5)</f>
        <v>830</v>
      </c>
      <c r="I44" s="238">
        <f>INDEX('Table A2 feeder rounded values'!$C$13:$BM$46,24+3,'Table A2 feeder rounded values'!I$10+$AA$5)</f>
        <v>-1.6</v>
      </c>
      <c r="J44" s="238">
        <f>INDEX('Table A2 feeder rounded values'!$C$13:$BM$46,24+3,'Table A2 feeder rounded values'!J$10+$AA$5)</f>
        <v>-2</v>
      </c>
      <c r="K44" s="238">
        <f>INDEX('Table A2 feeder rounded values'!$C$13:$BM$46,24+3,'Table A2 feeder rounded values'!K$10+$AA$5)</f>
        <v>-1.3</v>
      </c>
      <c r="L44" s="171"/>
      <c r="M44" s="171">
        <f>INDEX('Table A2 feeder rounded values'!$C$13:$BM$46,24+3,'Table A2 feeder rounded values'!M$10+$AA$5)</f>
        <v>350</v>
      </c>
      <c r="N44" s="238">
        <f>INDEX('Table A2 feeder rounded values'!$C$13:$BM$46,24+3,'Table A2 feeder rounded values'!N$10+$AA$5)</f>
        <v>-1.1000000000000001</v>
      </c>
      <c r="O44" s="238">
        <f>INDEX('Table A2 feeder rounded values'!$C$13:$BM$46,24+3,'Table A2 feeder rounded values'!O$10+$AA$5)</f>
        <v>-1.7</v>
      </c>
      <c r="P44" s="238">
        <f>INDEX('Table A2 feeder rounded values'!$C$13:$BM$46,24+3,'Table A2 feeder rounded values'!P$10+$AA$5)</f>
        <v>-0.6</v>
      </c>
      <c r="Q44" s="171"/>
      <c r="R44" s="171">
        <f>INDEX('Table A2 feeder rounded values'!$C$13:$BM$46,24+3,'Table A2 feeder rounded values'!R$10+$AA$5)</f>
        <v>3450</v>
      </c>
      <c r="S44" s="238">
        <f>INDEX('Table A2 feeder rounded values'!$C$13:$BM$46,24+3,'Table A2 feeder rounded values'!S$10+$AA$5)</f>
        <v>-2.4</v>
      </c>
      <c r="T44" s="238">
        <f>INDEX('Table A2 feeder rounded values'!$C$13:$BM$46,24+3,'Table A2 feeder rounded values'!T$10+$AA$5)</f>
        <v>-2.6</v>
      </c>
      <c r="U44" s="238">
        <f>INDEX('Table A2 feeder rounded values'!$C$13:$BM$46,24+3,'Table A2 feeder rounded values'!U$10+$AA$5)</f>
        <v>-2.2999999999999998</v>
      </c>
      <c r="V44" s="7"/>
      <c r="W44" s="7"/>
      <c r="X44" s="7"/>
      <c r="Y44" s="7"/>
      <c r="Z44" s="7"/>
      <c r="AA44" s="7"/>
      <c r="AB44" s="7"/>
    </row>
    <row r="45" spans="1:28" s="31" customFormat="1" ht="15" customHeight="1" x14ac:dyDescent="0.25">
      <c r="A45" s="110"/>
      <c r="B45" s="175"/>
      <c r="C45" s="171"/>
      <c r="D45" s="238"/>
      <c r="E45" s="238"/>
      <c r="F45" s="238"/>
      <c r="G45" s="171"/>
      <c r="H45" s="171"/>
      <c r="I45" s="238"/>
      <c r="J45" s="238"/>
      <c r="K45" s="238"/>
      <c r="L45" s="171"/>
      <c r="M45" s="171"/>
      <c r="N45" s="238"/>
      <c r="O45" s="238"/>
      <c r="P45" s="238"/>
      <c r="Q45" s="171"/>
      <c r="R45" s="171"/>
      <c r="S45" s="238"/>
      <c r="T45" s="238"/>
      <c r="U45" s="238"/>
      <c r="V45" s="7"/>
      <c r="W45" s="7"/>
      <c r="X45" s="7"/>
      <c r="Y45" s="7"/>
      <c r="Z45" s="7"/>
      <c r="AA45" s="7"/>
      <c r="AB45" s="7"/>
    </row>
    <row r="46" spans="1:28" s="31" customFormat="1" ht="15" customHeight="1" x14ac:dyDescent="0.25">
      <c r="A46" s="223" t="s">
        <v>45</v>
      </c>
      <c r="B46" s="175"/>
      <c r="C46" s="171">
        <f>INDEX('Table A2 feeder rounded values'!$C$13:$BM$46,24+5,'Table A2 feeder rounded values'!C$10+$AA$5)</f>
        <v>1240</v>
      </c>
      <c r="D46" s="238">
        <f>INDEX('Table A2 feeder rounded values'!$C$13:$BM$46,24+5,'Table A2 feeder rounded values'!D$10+$AA$5)</f>
        <v>-1.6</v>
      </c>
      <c r="E46" s="238">
        <f>INDEX('Table A2 feeder rounded values'!$C$13:$BM$46,24+5,'Table A2 feeder rounded values'!E$10+$AA$5)</f>
        <v>-1.9</v>
      </c>
      <c r="F46" s="238">
        <f>INDEX('Table A2 feeder rounded values'!$C$13:$BM$46,24+5,'Table A2 feeder rounded values'!F$10+$AA$5)</f>
        <v>-1.3</v>
      </c>
      <c r="G46" s="171"/>
      <c r="H46" s="171">
        <f>INDEX('Table A2 feeder rounded values'!$C$13:$BM$46,24+5,'Table A2 feeder rounded values'!H$10+$AA$5)</f>
        <v>470</v>
      </c>
      <c r="I46" s="238">
        <f>INDEX('Table A2 feeder rounded values'!$C$13:$BM$46,24+5,'Table A2 feeder rounded values'!I$10+$AA$5)</f>
        <v>-0.6</v>
      </c>
      <c r="J46" s="238">
        <f>INDEX('Table A2 feeder rounded values'!$C$13:$BM$46,24+5,'Table A2 feeder rounded values'!J$10+$AA$5)</f>
        <v>-1.1000000000000001</v>
      </c>
      <c r="K46" s="238">
        <f>INDEX('Table A2 feeder rounded values'!$C$13:$BM$46,24+5,'Table A2 feeder rounded values'!K$10+$AA$5)</f>
        <v>-0.1</v>
      </c>
      <c r="L46" s="171"/>
      <c r="M46" s="171">
        <f>INDEX('Table A2 feeder rounded values'!$C$13:$BM$46,24+5,'Table A2 feeder rounded values'!M$10+$AA$5)</f>
        <v>200</v>
      </c>
      <c r="N46" s="238">
        <f>INDEX('Table A2 feeder rounded values'!$C$13:$BM$46,24+5,'Table A2 feeder rounded values'!N$10+$AA$5)</f>
        <v>-0.4</v>
      </c>
      <c r="O46" s="238">
        <f>INDEX('Table A2 feeder rounded values'!$C$13:$BM$46,24+5,'Table A2 feeder rounded values'!O$10+$AA$5)</f>
        <v>-1.1000000000000001</v>
      </c>
      <c r="P46" s="238">
        <f>INDEX('Table A2 feeder rounded values'!$C$13:$BM$46,24+5,'Table A2 feeder rounded values'!P$10+$AA$5)</f>
        <v>0.3</v>
      </c>
      <c r="Q46" s="171"/>
      <c r="R46" s="171">
        <f>INDEX('Table A2 feeder rounded values'!$C$13:$BM$46,24+5,'Table A2 feeder rounded values'!R$10+$AA$5)</f>
        <v>1910</v>
      </c>
      <c r="S46" s="238">
        <f>INDEX('Table A2 feeder rounded values'!$C$13:$BM$46,24+5,'Table A2 feeder rounded values'!S$10+$AA$5)</f>
        <v>-1.2</v>
      </c>
      <c r="T46" s="238">
        <f>INDEX('Table A2 feeder rounded values'!$C$13:$BM$46,24+5,'Table A2 feeder rounded values'!T$10+$AA$5)</f>
        <v>-1.5</v>
      </c>
      <c r="U46" s="238">
        <f>INDEX('Table A2 feeder rounded values'!$C$13:$BM$46,24+5,'Table A2 feeder rounded values'!U$10+$AA$5)</f>
        <v>-1</v>
      </c>
      <c r="V46" s="7"/>
      <c r="W46" s="7"/>
      <c r="X46" s="7"/>
      <c r="Y46" s="7"/>
      <c r="Z46" s="7"/>
      <c r="AA46" s="7"/>
      <c r="AB46" s="7"/>
    </row>
    <row r="47" spans="1:28" s="31" customFormat="1" ht="15" customHeight="1" x14ac:dyDescent="0.25">
      <c r="A47" s="223"/>
      <c r="B47" s="175"/>
      <c r="C47" s="171"/>
      <c r="D47" s="238"/>
      <c r="E47" s="238"/>
      <c r="F47" s="238"/>
      <c r="G47" s="171"/>
      <c r="H47" s="171"/>
      <c r="I47" s="238"/>
      <c r="J47" s="238"/>
      <c r="K47" s="238"/>
      <c r="L47" s="171"/>
      <c r="M47" s="171"/>
      <c r="N47" s="238"/>
      <c r="O47" s="238"/>
      <c r="P47" s="238"/>
      <c r="Q47" s="171"/>
      <c r="R47" s="171"/>
      <c r="S47" s="238"/>
      <c r="T47" s="238"/>
      <c r="U47" s="238"/>
      <c r="V47" s="7"/>
      <c r="W47" s="7"/>
      <c r="X47" s="7"/>
      <c r="Y47" s="7"/>
      <c r="Z47" s="7"/>
      <c r="AA47" s="7"/>
      <c r="AB47" s="7"/>
    </row>
    <row r="48" spans="1:28" s="31" customFormat="1" ht="15" customHeight="1" x14ac:dyDescent="0.25">
      <c r="A48" s="223" t="s">
        <v>75</v>
      </c>
      <c r="B48" s="175"/>
      <c r="C48" s="171">
        <f>INDEX('Table A2 feeder rounded values'!$C$13:$BM$46,24+7,'Table A2 feeder rounded values'!C$10+$AA$5)</f>
        <v>1030</v>
      </c>
      <c r="D48" s="238">
        <f>INDEX('Table A2 feeder rounded values'!$C$13:$BM$46,24+7,'Table A2 feeder rounded values'!D$10+$AA$5)</f>
        <v>-4.5</v>
      </c>
      <c r="E48" s="238">
        <f>INDEX('Table A2 feeder rounded values'!$C$13:$BM$46,24+7,'Table A2 feeder rounded values'!E$10+$AA$5)</f>
        <v>-4.9000000000000004</v>
      </c>
      <c r="F48" s="238">
        <f>INDEX('Table A2 feeder rounded values'!$C$13:$BM$46,24+7,'Table A2 feeder rounded values'!F$10+$AA$5)</f>
        <v>-4.2</v>
      </c>
      <c r="G48" s="171"/>
      <c r="H48" s="171">
        <f>INDEX('Table A2 feeder rounded values'!$C$13:$BM$46,24+7,'Table A2 feeder rounded values'!H$10+$AA$5)</f>
        <v>360</v>
      </c>
      <c r="I48" s="238">
        <f>INDEX('Table A2 feeder rounded values'!$C$13:$BM$46,24+7,'Table A2 feeder rounded values'!I$10+$AA$5)</f>
        <v>-2.9</v>
      </c>
      <c r="J48" s="238">
        <f>INDEX('Table A2 feeder rounded values'!$C$13:$BM$46,24+7,'Table A2 feeder rounded values'!J$10+$AA$5)</f>
        <v>-3.5</v>
      </c>
      <c r="K48" s="238">
        <f>INDEX('Table A2 feeder rounded values'!$C$13:$BM$46,24+7,'Table A2 feeder rounded values'!K$10+$AA$5)</f>
        <v>-2.4</v>
      </c>
      <c r="L48" s="171"/>
      <c r="M48" s="171">
        <f>INDEX('Table A2 feeder rounded values'!$C$13:$BM$46,24+7,'Table A2 feeder rounded values'!M$10+$AA$5)</f>
        <v>150</v>
      </c>
      <c r="N48" s="238">
        <f>INDEX('Table A2 feeder rounded values'!$C$13:$BM$46,24+7,'Table A2 feeder rounded values'!N$10+$AA$5)</f>
        <v>-2.2000000000000002</v>
      </c>
      <c r="O48" s="238">
        <f>INDEX('Table A2 feeder rounded values'!$C$13:$BM$46,24+7,'Table A2 feeder rounded values'!O$10+$AA$5)</f>
        <v>-3.1</v>
      </c>
      <c r="P48" s="238">
        <f>INDEX('Table A2 feeder rounded values'!$C$13:$BM$46,24+7,'Table A2 feeder rounded values'!P$10+$AA$5)</f>
        <v>-1.3</v>
      </c>
      <c r="Q48" s="171"/>
      <c r="R48" s="171">
        <f>INDEX('Table A2 feeder rounded values'!$C$13:$BM$46,24+7,'Table A2 feeder rounded values'!R$10+$AA$5)</f>
        <v>1540</v>
      </c>
      <c r="S48" s="238">
        <f>INDEX('Table A2 feeder rounded values'!$C$13:$BM$46,24+7,'Table A2 feeder rounded values'!S$10+$AA$5)</f>
        <v>-3.9</v>
      </c>
      <c r="T48" s="238">
        <f>INDEX('Table A2 feeder rounded values'!$C$13:$BM$46,24+7,'Table A2 feeder rounded values'!T$10+$AA$5)</f>
        <v>-4.2</v>
      </c>
      <c r="U48" s="238">
        <f>INDEX('Table A2 feeder rounded values'!$C$13:$BM$46,24+7,'Table A2 feeder rounded values'!U$10+$AA$5)</f>
        <v>-3.7</v>
      </c>
      <c r="V48" s="7"/>
      <c r="W48" s="7"/>
      <c r="X48" s="7"/>
      <c r="Y48" s="7"/>
      <c r="Z48" s="7"/>
      <c r="AA48" s="7"/>
      <c r="AB48" s="7"/>
    </row>
    <row r="49" spans="1:28" s="31" customFormat="1" ht="15" customHeight="1" x14ac:dyDescent="0.25">
      <c r="A49" s="223"/>
      <c r="B49" s="223" t="s">
        <v>66</v>
      </c>
      <c r="C49" s="171">
        <f>INDEX('Table A2 feeder rounded values'!$C$13:$BM$46,24+8,'Table A2 feeder rounded values'!C$10+$AA$5)</f>
        <v>290</v>
      </c>
      <c r="D49" s="238">
        <f>INDEX('Table A2 feeder rounded values'!$C$13:$BM$46,24+8,'Table A2 feeder rounded values'!D$10+$AA$5)</f>
        <v>-7.6</v>
      </c>
      <c r="E49" s="238">
        <f>INDEX('Table A2 feeder rounded values'!$C$13:$BM$46,24+8,'Table A2 feeder rounded values'!E$10+$AA$5)</f>
        <v>-8.1999999999999993</v>
      </c>
      <c r="F49" s="238">
        <f>INDEX('Table A2 feeder rounded values'!$C$13:$BM$46,24+8,'Table A2 feeder rounded values'!F$10+$AA$5)</f>
        <v>-7</v>
      </c>
      <c r="G49" s="171"/>
      <c r="H49" s="171">
        <f>INDEX('Table A2 feeder rounded values'!$C$13:$BM$46,24+8,'Table A2 feeder rounded values'!H$10+$AA$5)</f>
        <v>70</v>
      </c>
      <c r="I49" s="238">
        <f>INDEX('Table A2 feeder rounded values'!$C$13:$BM$46,24+8,'Table A2 feeder rounded values'!I$10+$AA$5)</f>
        <v>-6.7</v>
      </c>
      <c r="J49" s="238">
        <f>INDEX('Table A2 feeder rounded values'!$C$13:$BM$46,24+8,'Table A2 feeder rounded values'!J$10+$AA$5)</f>
        <v>-7.9</v>
      </c>
      <c r="K49" s="238">
        <f>INDEX('Table A2 feeder rounded values'!$C$13:$BM$46,24+8,'Table A2 feeder rounded values'!K$10+$AA$5)</f>
        <v>-5.4</v>
      </c>
      <c r="L49" s="171"/>
      <c r="M49" s="171">
        <f>INDEX('Table A2 feeder rounded values'!$C$13:$BM$46,24+8,'Table A2 feeder rounded values'!M$10+$AA$5)</f>
        <v>20</v>
      </c>
      <c r="N49" s="238">
        <f>INDEX('Table A2 feeder rounded values'!$C$13:$BM$46,24+8,'Table A2 feeder rounded values'!N$10+$AA$5)</f>
        <v>-6.8</v>
      </c>
      <c r="O49" s="238">
        <f>INDEX('Table A2 feeder rounded values'!$C$13:$BM$46,24+8,'Table A2 feeder rounded values'!O$10+$AA$5)</f>
        <v>-9</v>
      </c>
      <c r="P49" s="238">
        <f>INDEX('Table A2 feeder rounded values'!$C$13:$BM$46,24+8,'Table A2 feeder rounded values'!P$10+$AA$5)</f>
        <v>-4.7</v>
      </c>
      <c r="Q49" s="171"/>
      <c r="R49" s="171">
        <f>INDEX('Table A2 feeder rounded values'!$C$13:$BM$46,24+8,'Table A2 feeder rounded values'!R$10+$AA$5)</f>
        <v>380</v>
      </c>
      <c r="S49" s="238">
        <f>INDEX('Table A2 feeder rounded values'!$C$13:$BM$46,24+8,'Table A2 feeder rounded values'!S$10+$AA$5)</f>
        <v>-7.4</v>
      </c>
      <c r="T49" s="238">
        <f>INDEX('Table A2 feeder rounded values'!$C$13:$BM$46,24+8,'Table A2 feeder rounded values'!T$10+$AA$5)</f>
        <v>-7.9</v>
      </c>
      <c r="U49" s="238">
        <f>INDEX('Table A2 feeder rounded values'!$C$13:$BM$46,24+8,'Table A2 feeder rounded values'!U$10+$AA$5)</f>
        <v>-6.9</v>
      </c>
      <c r="V49" s="7"/>
      <c r="W49" s="7"/>
      <c r="X49" s="7"/>
      <c r="Y49" s="7"/>
      <c r="Z49" s="7"/>
      <c r="AA49" s="7"/>
      <c r="AB49" s="7"/>
    </row>
    <row r="50" spans="1:28" s="31" customFormat="1" ht="15" customHeight="1" x14ac:dyDescent="0.25">
      <c r="A50" s="223"/>
      <c r="B50" s="223" t="s">
        <v>67</v>
      </c>
      <c r="C50" s="171">
        <f>INDEX('Table A2 feeder rounded values'!$C$13:$BM$46,24+9,'Table A2 feeder rounded values'!C$10+$AA$5)</f>
        <v>750</v>
      </c>
      <c r="D50" s="238">
        <f>INDEX('Table A2 feeder rounded values'!$C$13:$BM$46,24+9,'Table A2 feeder rounded values'!D$10+$AA$5)</f>
        <v>-3.4</v>
      </c>
      <c r="E50" s="238">
        <f>INDEX('Table A2 feeder rounded values'!$C$13:$BM$46,24+9,'Table A2 feeder rounded values'!E$10+$AA$5)</f>
        <v>-3.7</v>
      </c>
      <c r="F50" s="238">
        <f>INDEX('Table A2 feeder rounded values'!$C$13:$BM$46,24+9,'Table A2 feeder rounded values'!F$10+$AA$5)</f>
        <v>-3</v>
      </c>
      <c r="G50" s="171"/>
      <c r="H50" s="171">
        <f>INDEX('Table A2 feeder rounded values'!$C$13:$BM$46,24+9,'Table A2 feeder rounded values'!H$10+$AA$5)</f>
        <v>290</v>
      </c>
      <c r="I50" s="238">
        <f>INDEX('Table A2 feeder rounded values'!$C$13:$BM$46,24+9,'Table A2 feeder rounded values'!I$10+$AA$5)</f>
        <v>-2</v>
      </c>
      <c r="J50" s="238">
        <f>INDEX('Table A2 feeder rounded values'!$C$13:$BM$46,24+9,'Table A2 feeder rounded values'!J$10+$AA$5)</f>
        <v>-2.7</v>
      </c>
      <c r="K50" s="238">
        <f>INDEX('Table A2 feeder rounded values'!$C$13:$BM$46,24+9,'Table A2 feeder rounded values'!K$10+$AA$5)</f>
        <v>-1.4</v>
      </c>
      <c r="L50" s="171"/>
      <c r="M50" s="171">
        <f>INDEX('Table A2 feeder rounded values'!$C$13:$BM$46,24+9,'Table A2 feeder rounded values'!M$10+$AA$5)</f>
        <v>120</v>
      </c>
      <c r="N50" s="238">
        <f>INDEX('Table A2 feeder rounded values'!$C$13:$BM$46,24+9,'Table A2 feeder rounded values'!N$10+$AA$5)</f>
        <v>-1.3</v>
      </c>
      <c r="O50" s="238">
        <f>INDEX('Table A2 feeder rounded values'!$C$13:$BM$46,24+9,'Table A2 feeder rounded values'!O$10+$AA$5)</f>
        <v>-2.2999999999999998</v>
      </c>
      <c r="P50" s="238">
        <f>INDEX('Table A2 feeder rounded values'!$C$13:$BM$46,24+9,'Table A2 feeder rounded values'!P$10+$AA$5)</f>
        <v>-0.4</v>
      </c>
      <c r="Q50" s="171"/>
      <c r="R50" s="171">
        <f>INDEX('Table A2 feeder rounded values'!$C$13:$BM$46,24+9,'Table A2 feeder rounded values'!R$10+$AA$5)</f>
        <v>1160</v>
      </c>
      <c r="S50" s="238">
        <f>INDEX('Table A2 feeder rounded values'!$C$13:$BM$46,24+9,'Table A2 feeder rounded values'!S$10+$AA$5)</f>
        <v>-2.8</v>
      </c>
      <c r="T50" s="238">
        <f>INDEX('Table A2 feeder rounded values'!$C$13:$BM$46,24+9,'Table A2 feeder rounded values'!T$10+$AA$5)</f>
        <v>-3.1</v>
      </c>
      <c r="U50" s="238">
        <f>INDEX('Table A2 feeder rounded values'!$C$13:$BM$46,24+9,'Table A2 feeder rounded values'!U$10+$AA$5)</f>
        <v>-2.5</v>
      </c>
      <c r="V50" s="7"/>
      <c r="W50" s="7"/>
      <c r="X50" s="7"/>
      <c r="Y50" s="7"/>
      <c r="Z50" s="7"/>
      <c r="AA50" s="7"/>
      <c r="AB50" s="7"/>
    </row>
    <row r="51" spans="1:28" s="31" customFormat="1" ht="15" customHeight="1" x14ac:dyDescent="0.25">
      <c r="A51" s="224"/>
      <c r="B51" s="224"/>
      <c r="C51" s="225"/>
      <c r="D51" s="225"/>
      <c r="E51" s="225"/>
      <c r="F51" s="225"/>
      <c r="G51" s="225"/>
      <c r="H51" s="225"/>
      <c r="I51" s="225"/>
      <c r="J51" s="225"/>
      <c r="K51" s="225"/>
      <c r="L51" s="225"/>
      <c r="M51" s="225"/>
      <c r="N51" s="225"/>
      <c r="O51" s="225"/>
      <c r="P51" s="225"/>
      <c r="Q51" s="225"/>
      <c r="R51" s="225"/>
      <c r="S51" s="225"/>
      <c r="T51" s="225"/>
      <c r="U51" s="225"/>
      <c r="V51" s="7"/>
      <c r="W51" s="7"/>
      <c r="X51" s="7"/>
      <c r="Y51" s="7"/>
      <c r="Z51" s="7"/>
      <c r="AA51" s="7"/>
      <c r="AB51" s="7"/>
    </row>
    <row r="52" spans="1:28" s="31" customFormat="1" ht="11.25" customHeight="1" x14ac:dyDescent="0.25">
      <c r="A52" s="112"/>
      <c r="B52" s="198"/>
      <c r="C52" s="198"/>
      <c r="D52" s="198"/>
      <c r="E52" s="198"/>
      <c r="F52" s="198"/>
      <c r="G52" s="198"/>
      <c r="H52" s="198"/>
      <c r="I52" s="198"/>
      <c r="J52" s="198"/>
      <c r="K52" s="198"/>
      <c r="L52" s="198"/>
      <c r="M52" s="7"/>
      <c r="N52" s="7"/>
      <c r="O52" s="7"/>
      <c r="P52" s="174"/>
      <c r="Q52" s="198"/>
      <c r="R52" s="7"/>
      <c r="S52" s="7"/>
      <c r="T52" s="7"/>
      <c r="U52" s="178" t="s">
        <v>121</v>
      </c>
      <c r="V52" s="7"/>
      <c r="W52" s="7"/>
      <c r="X52" s="7"/>
      <c r="Y52" s="7"/>
      <c r="Z52" s="7"/>
      <c r="AA52" s="7"/>
      <c r="AB52" s="7"/>
    </row>
    <row r="53" spans="1:28" s="31" customFormat="1" ht="11.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s="31" customFormat="1" ht="22.5" customHeight="1" x14ac:dyDescent="0.25">
      <c r="A54" s="336" t="s">
        <v>185</v>
      </c>
      <c r="B54" s="339"/>
      <c r="C54" s="339"/>
      <c r="D54" s="339"/>
      <c r="E54" s="339"/>
      <c r="F54" s="339"/>
      <c r="G54" s="339"/>
      <c r="H54" s="339"/>
      <c r="I54" s="339"/>
      <c r="J54" s="339"/>
      <c r="K54" s="339"/>
      <c r="L54" s="339"/>
      <c r="M54" s="339"/>
      <c r="N54" s="339"/>
      <c r="O54" s="339"/>
      <c r="P54" s="339"/>
      <c r="Q54" s="339"/>
      <c r="R54" s="330"/>
      <c r="S54" s="330"/>
      <c r="T54" s="330"/>
      <c r="U54" s="330"/>
      <c r="V54" s="7"/>
      <c r="W54" s="211"/>
      <c r="X54" s="7"/>
      <c r="Y54" s="7"/>
      <c r="Z54" s="7"/>
      <c r="AA54" s="7"/>
      <c r="AB54" s="7"/>
    </row>
    <row r="55" spans="1:28" s="31" customFormat="1" ht="11.25" customHeight="1" x14ac:dyDescent="0.25">
      <c r="A55" s="334" t="s">
        <v>153</v>
      </c>
      <c r="B55" s="339"/>
      <c r="C55" s="339"/>
      <c r="D55" s="339"/>
      <c r="E55" s="339"/>
      <c r="F55" s="339"/>
      <c r="G55" s="339"/>
      <c r="H55" s="339"/>
      <c r="I55" s="339"/>
      <c r="J55" s="339"/>
      <c r="K55" s="339"/>
      <c r="L55" s="339"/>
      <c r="M55" s="339"/>
      <c r="N55" s="339"/>
      <c r="O55" s="339"/>
      <c r="P55" s="339"/>
      <c r="Q55" s="339"/>
      <c r="R55" s="339"/>
      <c r="S55" s="339"/>
      <c r="T55" s="339"/>
      <c r="U55" s="339"/>
      <c r="V55" s="7"/>
      <c r="W55" s="7"/>
      <c r="X55" s="7"/>
      <c r="Y55" s="7"/>
      <c r="Z55" s="7"/>
      <c r="AA55" s="7"/>
      <c r="AB55" s="7"/>
    </row>
    <row r="56" spans="1:28" ht="11.25" customHeight="1" x14ac:dyDescent="0.25">
      <c r="A56" s="334" t="s">
        <v>154</v>
      </c>
      <c r="B56" s="339"/>
      <c r="C56" s="339"/>
      <c r="D56" s="339"/>
      <c r="E56" s="339"/>
      <c r="F56" s="339"/>
      <c r="G56" s="339"/>
      <c r="H56" s="339"/>
      <c r="I56" s="339"/>
      <c r="J56" s="339"/>
      <c r="K56" s="339"/>
      <c r="L56" s="339"/>
      <c r="M56" s="339"/>
      <c r="N56" s="339"/>
      <c r="O56" s="339"/>
      <c r="P56" s="339"/>
      <c r="Q56" s="339"/>
      <c r="R56" s="339"/>
      <c r="S56" s="339"/>
      <c r="T56" s="339"/>
      <c r="U56" s="339"/>
    </row>
    <row r="57" spans="1:28" ht="22.5" customHeight="1" x14ac:dyDescent="0.25">
      <c r="A57" s="336" t="s">
        <v>155</v>
      </c>
      <c r="B57" s="339"/>
      <c r="C57" s="339"/>
      <c r="D57" s="339"/>
      <c r="E57" s="339"/>
      <c r="F57" s="339"/>
      <c r="G57" s="339"/>
      <c r="H57" s="339"/>
      <c r="I57" s="339"/>
      <c r="J57" s="339"/>
      <c r="K57" s="339"/>
      <c r="L57" s="339"/>
      <c r="M57" s="339"/>
      <c r="N57" s="339"/>
      <c r="O57" s="339"/>
      <c r="P57" s="339"/>
      <c r="Q57" s="339"/>
      <c r="R57" s="330"/>
      <c r="S57" s="330"/>
      <c r="T57" s="330"/>
      <c r="U57" s="330"/>
    </row>
    <row r="58" spans="1:28" ht="11.25" customHeight="1" x14ac:dyDescent="0.25">
      <c r="A58" s="337" t="s">
        <v>156</v>
      </c>
      <c r="B58" s="338"/>
      <c r="C58" s="338"/>
      <c r="D58" s="338"/>
      <c r="E58" s="338"/>
      <c r="F58" s="338"/>
      <c r="G58" s="338"/>
      <c r="H58" s="338"/>
      <c r="I58" s="338"/>
      <c r="J58" s="338"/>
      <c r="K58" s="338"/>
      <c r="L58" s="338"/>
      <c r="M58" s="338"/>
      <c r="N58" s="338"/>
      <c r="O58" s="338"/>
      <c r="P58" s="338"/>
      <c r="Q58" s="338"/>
    </row>
    <row r="59" spans="1:28" ht="22.5" customHeight="1" x14ac:dyDescent="0.25">
      <c r="A59" s="336" t="s">
        <v>157</v>
      </c>
      <c r="B59" s="339"/>
      <c r="C59" s="339"/>
      <c r="D59" s="339"/>
      <c r="E59" s="339"/>
      <c r="F59" s="339"/>
      <c r="G59" s="339"/>
      <c r="H59" s="339"/>
      <c r="I59" s="339"/>
      <c r="J59" s="339"/>
      <c r="K59" s="339"/>
      <c r="L59" s="339"/>
      <c r="M59" s="339"/>
      <c r="N59" s="339"/>
      <c r="O59" s="339"/>
      <c r="P59" s="339"/>
      <c r="Q59" s="339"/>
      <c r="R59" s="330"/>
      <c r="S59" s="330"/>
      <c r="T59" s="330"/>
      <c r="U59" s="330"/>
    </row>
    <row r="60" spans="1:28" ht="22.5" customHeight="1" x14ac:dyDescent="0.25">
      <c r="A60" s="336" t="s">
        <v>158</v>
      </c>
      <c r="B60" s="339"/>
      <c r="C60" s="339"/>
      <c r="D60" s="339"/>
      <c r="E60" s="339"/>
      <c r="F60" s="339"/>
      <c r="G60" s="339"/>
      <c r="H60" s="339"/>
      <c r="I60" s="339"/>
      <c r="J60" s="339"/>
      <c r="K60" s="339"/>
      <c r="L60" s="339"/>
      <c r="M60" s="339"/>
      <c r="N60" s="339"/>
      <c r="O60" s="339"/>
      <c r="P60" s="339"/>
      <c r="Q60" s="339"/>
      <c r="R60" s="330"/>
      <c r="S60" s="330"/>
      <c r="T60" s="330"/>
      <c r="U60" s="330"/>
    </row>
    <row r="61" spans="1:28" ht="11.25" customHeight="1" x14ac:dyDescent="0.25">
      <c r="A61" s="334" t="s">
        <v>147</v>
      </c>
      <c r="B61" s="339"/>
      <c r="C61" s="339"/>
      <c r="D61" s="339"/>
      <c r="E61" s="339"/>
      <c r="F61" s="339"/>
      <c r="G61" s="339"/>
      <c r="H61" s="339"/>
      <c r="I61" s="339"/>
      <c r="J61" s="339"/>
      <c r="K61" s="339"/>
      <c r="L61" s="339"/>
      <c r="M61" s="339"/>
      <c r="N61" s="339"/>
      <c r="O61" s="339"/>
      <c r="P61" s="339"/>
      <c r="Q61" s="339"/>
      <c r="R61" s="339"/>
      <c r="S61" s="339"/>
      <c r="T61" s="339"/>
      <c r="U61" s="339"/>
    </row>
    <row r="62" spans="1:28" ht="11.25" customHeight="1" x14ac:dyDescent="0.25">
      <c r="A62" s="337" t="s">
        <v>148</v>
      </c>
      <c r="B62" s="338"/>
      <c r="C62" s="338"/>
      <c r="D62" s="338"/>
      <c r="E62" s="338"/>
      <c r="F62" s="338"/>
      <c r="G62" s="338"/>
      <c r="H62" s="338"/>
      <c r="I62" s="338"/>
      <c r="J62" s="338"/>
      <c r="K62" s="338"/>
      <c r="L62" s="338"/>
      <c r="M62" s="338"/>
      <c r="N62" s="338"/>
      <c r="O62" s="338"/>
      <c r="P62" s="338"/>
      <c r="Q62" s="338"/>
    </row>
    <row r="63" spans="1:28" ht="11.25" customHeight="1" x14ac:dyDescent="0.25"/>
    <row r="64" spans="1:28" ht="11.25" customHeight="1" x14ac:dyDescent="0.25">
      <c r="A64" s="336" t="s">
        <v>159</v>
      </c>
      <c r="B64" s="335"/>
      <c r="C64" s="335"/>
      <c r="D64" s="335"/>
      <c r="E64" s="335"/>
      <c r="F64" s="335"/>
      <c r="G64" s="335"/>
      <c r="H64" s="335"/>
      <c r="I64" s="335"/>
      <c r="J64" s="335"/>
      <c r="K64" s="335"/>
      <c r="L64" s="335"/>
      <c r="M64" s="335"/>
      <c r="N64" s="335"/>
      <c r="O64" s="335"/>
      <c r="P64" s="335"/>
      <c r="Q64" s="335"/>
    </row>
    <row r="65" spans="1:28" s="7" customFormat="1" ht="11.25" customHeight="1" x14ac:dyDescent="0.25">
      <c r="A65" s="336" t="s">
        <v>149</v>
      </c>
      <c r="B65" s="335"/>
      <c r="C65" s="335"/>
      <c r="D65" s="335"/>
      <c r="E65" s="335"/>
      <c r="F65" s="335"/>
      <c r="G65" s="335"/>
      <c r="H65" s="335"/>
      <c r="I65" s="335"/>
      <c r="J65" s="335"/>
      <c r="K65" s="335"/>
      <c r="L65" s="335"/>
      <c r="M65" s="335"/>
      <c r="N65" s="335"/>
      <c r="O65" s="335"/>
      <c r="P65" s="335"/>
      <c r="Q65" s="335"/>
    </row>
    <row r="66" spans="1:28" s="7" customFormat="1" ht="11.25" customHeight="1" x14ac:dyDescent="0.25">
      <c r="A66" s="235" t="s">
        <v>150</v>
      </c>
      <c r="B66" s="198"/>
      <c r="C66" s="198"/>
      <c r="D66" s="198"/>
      <c r="E66" s="198"/>
      <c r="F66" s="198"/>
      <c r="G66" s="198"/>
      <c r="H66" s="198"/>
      <c r="I66" s="198"/>
      <c r="J66" s="198"/>
      <c r="K66" s="198"/>
      <c r="L66" s="198"/>
      <c r="M66" s="198"/>
      <c r="N66" s="198"/>
      <c r="O66" s="198"/>
      <c r="P66" s="198"/>
      <c r="Q66" s="198"/>
    </row>
    <row r="67" spans="1:28" s="7" customFormat="1" ht="11.25" customHeight="1" x14ac:dyDescent="0.25">
      <c r="A67" s="235" t="s">
        <v>151</v>
      </c>
      <c r="B67" s="198"/>
      <c r="C67" s="198"/>
      <c r="D67" s="198"/>
      <c r="E67" s="198"/>
      <c r="F67" s="198"/>
      <c r="G67" s="198"/>
      <c r="H67" s="198"/>
      <c r="I67" s="198"/>
      <c r="J67" s="198"/>
      <c r="K67" s="198"/>
      <c r="L67" s="198"/>
      <c r="M67" s="198"/>
      <c r="N67" s="198"/>
      <c r="O67" s="198"/>
      <c r="P67" s="198"/>
      <c r="Q67" s="198"/>
    </row>
    <row r="68" spans="1:28" s="7" customFormat="1" ht="11.25" customHeight="1" x14ac:dyDescent="0.25">
      <c r="A68" s="235" t="s">
        <v>152</v>
      </c>
      <c r="B68" s="198"/>
      <c r="C68" s="198"/>
      <c r="D68" s="198"/>
      <c r="E68" s="198"/>
      <c r="F68" s="198"/>
      <c r="G68" s="198"/>
      <c r="H68" s="198"/>
      <c r="I68" s="198"/>
      <c r="J68" s="198"/>
      <c r="K68" s="198"/>
      <c r="L68" s="198"/>
      <c r="M68" s="198"/>
      <c r="N68" s="198"/>
      <c r="O68" s="198"/>
      <c r="P68" s="198"/>
      <c r="Q68" s="198"/>
    </row>
    <row r="69" spans="1:28" s="7" customFormat="1" ht="11.25" customHeight="1" x14ac:dyDescent="0.25">
      <c r="A69" s="235" t="str">
        <f>"-  (hyphen)  negligible"</f>
        <v>-  (hyphen)  negligible</v>
      </c>
      <c r="B69" s="198"/>
      <c r="C69" s="198"/>
      <c r="D69" s="198"/>
      <c r="E69" s="198"/>
      <c r="F69" s="198"/>
      <c r="G69" s="198"/>
      <c r="H69" s="198"/>
      <c r="I69" s="198"/>
      <c r="J69" s="198"/>
      <c r="K69" s="198"/>
      <c r="L69" s="198"/>
      <c r="M69" s="198"/>
      <c r="N69" s="198"/>
      <c r="O69" s="198"/>
      <c r="P69" s="198"/>
      <c r="Q69" s="198"/>
    </row>
    <row r="70" spans="1:28" s="7" customFormat="1" ht="11.25" customHeight="1" x14ac:dyDescent="0.25">
      <c r="A70" s="198" t="s">
        <v>27</v>
      </c>
      <c r="B70" s="198"/>
      <c r="C70" s="198"/>
      <c r="D70" s="198"/>
      <c r="E70" s="198"/>
      <c r="F70" s="198"/>
      <c r="G70" s="198"/>
      <c r="H70" s="198"/>
      <c r="I70" s="198"/>
      <c r="J70" s="198"/>
      <c r="K70" s="198"/>
      <c r="L70" s="198"/>
      <c r="M70" s="198"/>
      <c r="N70" s="198"/>
      <c r="O70" s="198"/>
      <c r="P70" s="198"/>
      <c r="Q70" s="198"/>
    </row>
    <row r="71" spans="1:28" s="31" customFormat="1" ht="11.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s="31" customFormat="1" ht="11.25" customHeight="1" x14ac:dyDescent="0.25">
      <c r="A72" s="7"/>
      <c r="B72" s="7"/>
      <c r="C72" s="7"/>
      <c r="D72" s="7"/>
      <c r="E72" s="7"/>
      <c r="F72" s="7"/>
      <c r="G72" s="226"/>
      <c r="H72" s="226"/>
      <c r="I72" s="226"/>
      <c r="J72" s="226"/>
      <c r="K72" s="226"/>
      <c r="L72" s="226"/>
      <c r="M72" s="7"/>
      <c r="N72" s="7"/>
      <c r="O72" s="7"/>
      <c r="P72" s="7"/>
      <c r="Q72" s="7"/>
      <c r="R72" s="7"/>
      <c r="S72" s="7"/>
      <c r="T72" s="7"/>
      <c r="U72" s="7"/>
      <c r="V72" s="7"/>
      <c r="W72" s="7"/>
      <c r="X72" s="7"/>
      <c r="Y72" s="7"/>
      <c r="Z72" s="7"/>
      <c r="AA72" s="7"/>
      <c r="AB72" s="7"/>
    </row>
    <row r="73" spans="1:28" x14ac:dyDescent="0.25">
      <c r="G73" s="226"/>
      <c r="H73" s="226"/>
      <c r="I73" s="226"/>
      <c r="J73" s="226"/>
      <c r="K73" s="226"/>
      <c r="L73" s="226"/>
    </row>
    <row r="74" spans="1:28" x14ac:dyDescent="0.25">
      <c r="G74" s="226"/>
      <c r="H74" s="226"/>
      <c r="I74" s="226"/>
      <c r="J74" s="226"/>
      <c r="K74" s="226"/>
      <c r="L74" s="226"/>
    </row>
  </sheetData>
  <sheetProtection algorithmName="SHA-512" hashValue="EZ0OsHeqbO4V1swIqXOS16LrCrkkBSrbb6YesMenhx06cRNxxonepIS4EAQ6DNcNZYrywUHNMV0FRg5aLvRXig==" saltValue="68en/Dk4IcCC/ywpKHpkxA==" spinCount="100000" sheet="1" objects="1" scenarios="1" selectLockedCells="1"/>
  <mergeCells count="17">
    <mergeCell ref="A3:P3"/>
    <mergeCell ref="C13:F13"/>
    <mergeCell ref="H13:K13"/>
    <mergeCell ref="M13:P13"/>
    <mergeCell ref="R13:U13"/>
    <mergeCell ref="A7:Q9"/>
    <mergeCell ref="A54:U54"/>
    <mergeCell ref="A55:U55"/>
    <mergeCell ref="A56:U56"/>
    <mergeCell ref="A57:U57"/>
    <mergeCell ref="A58:Q58"/>
    <mergeCell ref="A65:Q65"/>
    <mergeCell ref="A59:U59"/>
    <mergeCell ref="A60:U60"/>
    <mergeCell ref="A61:U61"/>
    <mergeCell ref="A62:Q62"/>
    <mergeCell ref="A64:Q64"/>
  </mergeCells>
  <dataValidations count="1">
    <dataValidation type="list" allowBlank="1" showInputMessage="1" showErrorMessage="1" sqref="U11">
      <formula1>$AA$1:$AA$3</formula1>
    </dataValidation>
  </dataValidations>
  <hyperlinks>
    <hyperlink ref="A2" location="INDEX!A1" display="Back to index"/>
    <hyperlink ref="A58" r:id="rId1" display="https://www.gov.uk/government/publications/primary-school-accountability"/>
    <hyperlink ref="A62" r:id="rId2" display="https://www.gov.uk/government/publications/interim-frameworks-for-teacher-assessment-at-the-end-of-key-stage-2"/>
  </hyperlinks>
  <pageMargins left="0.7" right="0.7" top="0.75" bottom="0.75" header="0.3" footer="0.3"/>
  <pageSetup paperSize="9" scale="61"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J47"/>
  <sheetViews>
    <sheetView workbookViewId="0">
      <selection activeCell="C14" sqref="C14"/>
    </sheetView>
  </sheetViews>
  <sheetFormatPr defaultColWidth="9" defaultRowHeight="15" x14ac:dyDescent="0.25"/>
  <cols>
    <col min="1" max="1" width="6.85546875" style="16" customWidth="1"/>
    <col min="2" max="2" width="50" style="16" customWidth="1"/>
    <col min="3" max="6" width="9" style="16"/>
    <col min="7" max="7" width="2.7109375" style="16" customWidth="1"/>
    <col min="8" max="12" width="9" style="16"/>
    <col min="13" max="13" width="6.85546875" style="16" customWidth="1"/>
    <col min="14" max="14" width="50" style="16" customWidth="1"/>
    <col min="15" max="18" width="9" style="16"/>
    <col min="19" max="19" width="2" style="16" customWidth="1"/>
    <col min="20" max="24" width="9" style="16"/>
    <col min="25" max="25" width="6.85546875" style="16" customWidth="1"/>
    <col min="26" max="26" width="50" style="16" customWidth="1"/>
    <col min="27" max="30" width="9" style="16"/>
    <col min="31" max="31" width="2" style="16" customWidth="1"/>
    <col min="32" max="16384" width="9" style="16"/>
  </cols>
  <sheetData>
    <row r="1" spans="1:36" x14ac:dyDescent="0.25">
      <c r="A1" s="81" t="s">
        <v>58</v>
      </c>
      <c r="B1" s="86"/>
      <c r="M1" s="15"/>
      <c r="Y1" s="15"/>
    </row>
    <row r="2" spans="1:36" x14ac:dyDescent="0.25">
      <c r="A2" s="17"/>
      <c r="B2" s="31"/>
      <c r="C2" s="31"/>
      <c r="D2" s="31"/>
      <c r="E2" s="31"/>
      <c r="F2" s="31"/>
      <c r="G2" s="31"/>
      <c r="M2" s="17"/>
      <c r="N2" s="31"/>
      <c r="O2" s="31"/>
      <c r="P2" s="31"/>
      <c r="Q2" s="31"/>
      <c r="R2" s="31"/>
      <c r="S2" s="31"/>
      <c r="Y2" s="17"/>
      <c r="Z2" s="31"/>
      <c r="AA2" s="31"/>
      <c r="AB2" s="31"/>
      <c r="AC2" s="31"/>
      <c r="AD2" s="31"/>
      <c r="AE2" s="31"/>
    </row>
    <row r="3" spans="1:36" x14ac:dyDescent="0.25">
      <c r="A3" s="18"/>
      <c r="B3" s="52"/>
      <c r="C3" s="52"/>
      <c r="D3" s="52"/>
      <c r="E3" s="52"/>
      <c r="F3" s="52"/>
      <c r="G3" s="52"/>
      <c r="M3" s="18"/>
      <c r="N3" s="52"/>
      <c r="O3" s="52"/>
      <c r="P3" s="52"/>
      <c r="Q3" s="52"/>
      <c r="R3" s="52"/>
      <c r="S3" s="52"/>
      <c r="Y3" s="18"/>
      <c r="Z3" s="52"/>
      <c r="AA3" s="52"/>
      <c r="AB3" s="52"/>
      <c r="AC3" s="52"/>
      <c r="AD3" s="52"/>
      <c r="AE3" s="52"/>
    </row>
    <row r="4" spans="1:36" x14ac:dyDescent="0.25">
      <c r="A4" s="32"/>
      <c r="B4" s="53"/>
      <c r="C4" s="53"/>
      <c r="D4" s="53"/>
      <c r="E4" s="53"/>
      <c r="F4" s="53"/>
      <c r="G4" s="53"/>
      <c r="M4" s="32"/>
      <c r="N4" s="53"/>
      <c r="O4" s="53"/>
      <c r="P4" s="53"/>
      <c r="Q4" s="53"/>
      <c r="R4" s="53"/>
      <c r="S4" s="53"/>
      <c r="Y4" s="32"/>
      <c r="Z4" s="53"/>
      <c r="AA4" s="53"/>
      <c r="AB4" s="53"/>
      <c r="AC4" s="53"/>
      <c r="AD4" s="53"/>
      <c r="AE4" s="53"/>
    </row>
    <row r="5" spans="1:36" ht="14.25" customHeight="1" x14ac:dyDescent="0.25">
      <c r="A5" s="18"/>
      <c r="B5" s="53"/>
      <c r="C5" s="53"/>
      <c r="D5" s="53"/>
      <c r="E5" s="53"/>
      <c r="M5" s="18"/>
      <c r="N5" s="53"/>
      <c r="O5" s="53"/>
      <c r="P5" s="53"/>
      <c r="Q5" s="53"/>
      <c r="Y5" s="18"/>
      <c r="Z5" s="53"/>
      <c r="AA5" s="53"/>
      <c r="AB5" s="53"/>
      <c r="AC5" s="53"/>
    </row>
    <row r="6" spans="1:36" x14ac:dyDescent="0.25">
      <c r="A6" s="88" t="s">
        <v>53</v>
      </c>
      <c r="B6" s="55"/>
      <c r="C6" s="55"/>
      <c r="D6" s="55"/>
      <c r="E6" s="55"/>
      <c r="F6" s="55"/>
      <c r="G6" s="55"/>
      <c r="M6" s="88" t="s">
        <v>54</v>
      </c>
      <c r="N6" s="55"/>
      <c r="O6" s="55"/>
      <c r="P6" s="55"/>
      <c r="Q6" s="55"/>
      <c r="R6" s="55"/>
      <c r="S6" s="55"/>
      <c r="Y6" s="88" t="s">
        <v>55</v>
      </c>
      <c r="Z6" s="55"/>
      <c r="AA6" s="55"/>
      <c r="AB6" s="55"/>
      <c r="AC6" s="55"/>
      <c r="AD6" s="55"/>
      <c r="AE6" s="55"/>
    </row>
    <row r="7" spans="1:36" s="20" customFormat="1" x14ac:dyDescent="0.25">
      <c r="A7" s="56">
        <v>1</v>
      </c>
      <c r="B7" s="56">
        <f>A7+1</f>
        <v>2</v>
      </c>
      <c r="C7" s="56">
        <f t="shared" ref="C7:AI7" si="0">B7+1</f>
        <v>3</v>
      </c>
      <c r="D7" s="56">
        <f t="shared" si="0"/>
        <v>4</v>
      </c>
      <c r="E7" s="56">
        <f t="shared" si="0"/>
        <v>5</v>
      </c>
      <c r="F7" s="56">
        <f t="shared" si="0"/>
        <v>6</v>
      </c>
      <c r="G7" s="56">
        <f t="shared" si="0"/>
        <v>7</v>
      </c>
      <c r="H7" s="56">
        <f t="shared" si="0"/>
        <v>8</v>
      </c>
      <c r="I7" s="56">
        <f t="shared" si="0"/>
        <v>9</v>
      </c>
      <c r="J7" s="56">
        <f t="shared" si="0"/>
        <v>10</v>
      </c>
      <c r="K7" s="56">
        <f t="shared" si="0"/>
        <v>11</v>
      </c>
      <c r="L7" s="56">
        <f t="shared" si="0"/>
        <v>12</v>
      </c>
      <c r="M7" s="56">
        <f t="shared" si="0"/>
        <v>13</v>
      </c>
      <c r="N7" s="56">
        <f t="shared" si="0"/>
        <v>14</v>
      </c>
      <c r="O7" s="56">
        <f t="shared" si="0"/>
        <v>15</v>
      </c>
      <c r="P7" s="56">
        <f t="shared" si="0"/>
        <v>16</v>
      </c>
      <c r="Q7" s="56">
        <f t="shared" si="0"/>
        <v>17</v>
      </c>
      <c r="R7" s="56">
        <f t="shared" si="0"/>
        <v>18</v>
      </c>
      <c r="S7" s="56">
        <f t="shared" si="0"/>
        <v>19</v>
      </c>
      <c r="T7" s="56">
        <f t="shared" si="0"/>
        <v>20</v>
      </c>
      <c r="U7" s="56">
        <f t="shared" si="0"/>
        <v>21</v>
      </c>
      <c r="V7" s="56">
        <f t="shared" si="0"/>
        <v>22</v>
      </c>
      <c r="W7" s="56">
        <f t="shared" si="0"/>
        <v>23</v>
      </c>
      <c r="X7" s="56">
        <f t="shared" si="0"/>
        <v>24</v>
      </c>
      <c r="Y7" s="56">
        <f t="shared" si="0"/>
        <v>25</v>
      </c>
      <c r="Z7" s="56">
        <f t="shared" si="0"/>
        <v>26</v>
      </c>
      <c r="AA7" s="56">
        <f t="shared" si="0"/>
        <v>27</v>
      </c>
      <c r="AB7" s="56">
        <f t="shared" si="0"/>
        <v>28</v>
      </c>
      <c r="AC7" s="56">
        <f t="shared" si="0"/>
        <v>29</v>
      </c>
      <c r="AD7" s="56">
        <f t="shared" si="0"/>
        <v>30</v>
      </c>
      <c r="AE7" s="56">
        <f t="shared" si="0"/>
        <v>31</v>
      </c>
      <c r="AF7" s="56">
        <f t="shared" si="0"/>
        <v>32</v>
      </c>
      <c r="AG7" s="56">
        <f t="shared" si="0"/>
        <v>33</v>
      </c>
      <c r="AH7" s="56">
        <f t="shared" si="0"/>
        <v>34</v>
      </c>
      <c r="AI7" s="56">
        <f t="shared" si="0"/>
        <v>35</v>
      </c>
    </row>
    <row r="8" spans="1:36" ht="14.25" customHeight="1" x14ac:dyDescent="0.25">
      <c r="A8" s="25"/>
      <c r="B8" s="25"/>
      <c r="C8" s="346" t="s">
        <v>40</v>
      </c>
      <c r="D8" s="347"/>
      <c r="E8" s="347"/>
      <c r="F8" s="348"/>
      <c r="G8" s="57"/>
      <c r="H8" s="346" t="s">
        <v>25</v>
      </c>
      <c r="I8" s="347"/>
      <c r="J8" s="347"/>
      <c r="K8" s="348"/>
      <c r="M8" s="25"/>
      <c r="N8" s="25"/>
      <c r="O8" s="346" t="s">
        <v>40</v>
      </c>
      <c r="P8" s="347"/>
      <c r="Q8" s="347"/>
      <c r="R8" s="348"/>
      <c r="S8" s="57"/>
      <c r="T8" s="346" t="s">
        <v>25</v>
      </c>
      <c r="U8" s="347"/>
      <c r="V8" s="347"/>
      <c r="W8" s="348"/>
      <c r="Y8" s="25"/>
      <c r="Z8" s="25"/>
      <c r="AA8" s="346" t="s">
        <v>40</v>
      </c>
      <c r="AB8" s="347"/>
      <c r="AC8" s="347"/>
      <c r="AD8" s="348"/>
      <c r="AE8" s="57"/>
      <c r="AF8" s="346" t="s">
        <v>25</v>
      </c>
      <c r="AG8" s="347"/>
      <c r="AH8" s="347"/>
      <c r="AI8" s="348"/>
    </row>
    <row r="9" spans="1:36" ht="33.75" x14ac:dyDescent="0.25">
      <c r="A9" s="26"/>
      <c r="B9" s="58"/>
      <c r="C9" s="59" t="s">
        <v>41</v>
      </c>
      <c r="D9" s="60" t="s">
        <v>42</v>
      </c>
      <c r="E9" s="61" t="s">
        <v>43</v>
      </c>
      <c r="F9" s="61" t="s">
        <v>44</v>
      </c>
      <c r="G9" s="61"/>
      <c r="H9" s="59" t="s">
        <v>41</v>
      </c>
      <c r="I9" s="60" t="s">
        <v>42</v>
      </c>
      <c r="J9" s="61" t="s">
        <v>43</v>
      </c>
      <c r="K9" s="61" t="s">
        <v>44</v>
      </c>
      <c r="M9" s="26"/>
      <c r="N9" s="58"/>
      <c r="O9" s="59" t="s">
        <v>41</v>
      </c>
      <c r="P9" s="60" t="s">
        <v>42</v>
      </c>
      <c r="Q9" s="61" t="s">
        <v>43</v>
      </c>
      <c r="R9" s="61" t="s">
        <v>44</v>
      </c>
      <c r="S9" s="61"/>
      <c r="T9" s="59" t="s">
        <v>41</v>
      </c>
      <c r="U9" s="60" t="s">
        <v>42</v>
      </c>
      <c r="V9" s="61" t="s">
        <v>43</v>
      </c>
      <c r="W9" s="61" t="s">
        <v>44</v>
      </c>
      <c r="Y9" s="26"/>
      <c r="Z9" s="58"/>
      <c r="AA9" s="59" t="s">
        <v>41</v>
      </c>
      <c r="AB9" s="60" t="s">
        <v>42</v>
      </c>
      <c r="AC9" s="61" t="s">
        <v>43</v>
      </c>
      <c r="AD9" s="61" t="s">
        <v>44</v>
      </c>
      <c r="AE9" s="61"/>
      <c r="AF9" s="59" t="s">
        <v>41</v>
      </c>
      <c r="AG9" s="60" t="s">
        <v>42</v>
      </c>
      <c r="AH9" s="61" t="s">
        <v>43</v>
      </c>
      <c r="AI9" s="61" t="s">
        <v>44</v>
      </c>
    </row>
    <row r="10" spans="1:36" ht="15" customHeight="1" x14ac:dyDescent="0.25">
      <c r="A10" s="37"/>
      <c r="B10" s="55"/>
      <c r="C10" s="55"/>
      <c r="D10" s="55"/>
      <c r="E10" s="55"/>
      <c r="F10" s="55"/>
      <c r="G10" s="55"/>
      <c r="H10" s="55"/>
      <c r="I10" s="55"/>
      <c r="J10" s="55"/>
      <c r="K10" s="55"/>
      <c r="M10" s="37"/>
      <c r="N10" s="55"/>
      <c r="O10" s="55"/>
      <c r="P10" s="55"/>
      <c r="Q10" s="55"/>
      <c r="R10" s="55"/>
      <c r="S10" s="55"/>
      <c r="T10" s="55"/>
      <c r="U10" s="55"/>
      <c r="V10" s="55"/>
      <c r="W10" s="55"/>
      <c r="Y10" s="37"/>
      <c r="Z10" s="55"/>
      <c r="AA10" s="55"/>
      <c r="AB10" s="55"/>
      <c r="AC10" s="55"/>
      <c r="AD10" s="55"/>
      <c r="AE10" s="55"/>
      <c r="AF10" s="55"/>
      <c r="AG10" s="55"/>
      <c r="AH10" s="55"/>
      <c r="AI10" s="55"/>
    </row>
    <row r="11" spans="1:36" x14ac:dyDescent="0.25">
      <c r="A11" s="62" t="s">
        <v>48</v>
      </c>
      <c r="B11" s="55"/>
      <c r="C11" s="55"/>
      <c r="D11" s="55"/>
      <c r="E11" s="55"/>
      <c r="F11" s="55"/>
      <c r="G11" s="55"/>
      <c r="H11" s="55"/>
      <c r="I11" s="55"/>
      <c r="J11" s="55"/>
      <c r="K11" s="55"/>
      <c r="M11" s="62" t="s">
        <v>48</v>
      </c>
      <c r="N11" s="55"/>
      <c r="O11" s="55"/>
      <c r="P11" s="55"/>
      <c r="Q11" s="55"/>
      <c r="R11" s="55"/>
      <c r="S11" s="55"/>
      <c r="T11" s="55"/>
      <c r="U11" s="55"/>
      <c r="V11" s="55"/>
      <c r="W11" s="55"/>
      <c r="Y11" s="62" t="s">
        <v>48</v>
      </c>
      <c r="Z11" s="55"/>
      <c r="AA11" s="55"/>
      <c r="AB11" s="55"/>
      <c r="AC11" s="55"/>
      <c r="AD11" s="55"/>
      <c r="AE11" s="55"/>
      <c r="AF11" s="55"/>
      <c r="AG11" s="55"/>
      <c r="AH11" s="55"/>
      <c r="AI11" s="55"/>
    </row>
    <row r="12" spans="1:36" x14ac:dyDescent="0.25">
      <c r="A12" s="62"/>
      <c r="B12" s="55"/>
      <c r="C12" s="55"/>
      <c r="D12" s="55"/>
      <c r="E12" s="55"/>
      <c r="F12" s="55"/>
      <c r="G12" s="55"/>
      <c r="H12" s="55"/>
      <c r="I12" s="55"/>
      <c r="J12" s="55"/>
      <c r="K12" s="55"/>
      <c r="M12" s="62"/>
      <c r="N12" s="55"/>
      <c r="O12" s="55"/>
      <c r="P12" s="55"/>
      <c r="Q12" s="55"/>
      <c r="R12" s="55"/>
      <c r="S12" s="55"/>
      <c r="T12" s="55"/>
      <c r="U12" s="55"/>
      <c r="V12" s="55"/>
      <c r="W12" s="55"/>
      <c r="Y12" s="62"/>
      <c r="Z12" s="55"/>
      <c r="AA12" s="55"/>
      <c r="AB12" s="55"/>
      <c r="AC12" s="55"/>
      <c r="AD12" s="55"/>
      <c r="AE12" s="55"/>
      <c r="AF12" s="63"/>
      <c r="AG12" s="55"/>
      <c r="AH12" s="55"/>
      <c r="AI12" s="55"/>
    </row>
    <row r="13" spans="1:36" x14ac:dyDescent="0.25">
      <c r="A13" s="95" t="s">
        <v>59</v>
      </c>
      <c r="B13" s="55"/>
      <c r="C13" s="63">
        <v>1170</v>
      </c>
      <c r="D13" s="64">
        <v>0</v>
      </c>
      <c r="E13" s="99">
        <v>-0.3</v>
      </c>
      <c r="F13" s="99">
        <v>0.4</v>
      </c>
      <c r="G13" s="63"/>
      <c r="H13" s="63">
        <v>268640</v>
      </c>
      <c r="I13" s="64">
        <v>0.4</v>
      </c>
      <c r="J13" s="99">
        <v>0.3</v>
      </c>
      <c r="K13" s="99">
        <v>0.4</v>
      </c>
      <c r="M13" s="95" t="s">
        <v>59</v>
      </c>
      <c r="N13" s="55"/>
      <c r="O13" s="63">
        <v>1150</v>
      </c>
      <c r="P13" s="64">
        <v>0.4</v>
      </c>
      <c r="Q13" s="99">
        <v>0.1</v>
      </c>
      <c r="R13" s="99">
        <v>0.8</v>
      </c>
      <c r="S13" s="63"/>
      <c r="T13" s="63">
        <v>275470</v>
      </c>
      <c r="U13" s="64">
        <v>-0.3</v>
      </c>
      <c r="V13" s="99">
        <v>-0.4</v>
      </c>
      <c r="W13" s="99">
        <v>-0.3</v>
      </c>
      <c r="Y13" s="95" t="s">
        <v>59</v>
      </c>
      <c r="Z13" s="55"/>
      <c r="AA13" s="63">
        <v>2330</v>
      </c>
      <c r="AB13" s="64">
        <v>0.2</v>
      </c>
      <c r="AC13" s="99">
        <v>0</v>
      </c>
      <c r="AD13" s="99">
        <v>0.5</v>
      </c>
      <c r="AE13" s="63"/>
      <c r="AF13" s="63">
        <v>544110</v>
      </c>
      <c r="AG13" s="64">
        <v>0</v>
      </c>
      <c r="AH13" s="99">
        <v>0</v>
      </c>
      <c r="AI13" s="99">
        <v>0</v>
      </c>
    </row>
    <row r="14" spans="1:36" x14ac:dyDescent="0.25">
      <c r="A14" s="37"/>
      <c r="B14" s="55"/>
      <c r="C14" s="55"/>
      <c r="D14" s="55"/>
      <c r="E14" s="100"/>
      <c r="F14" s="100"/>
      <c r="G14" s="55"/>
      <c r="H14" s="55"/>
      <c r="I14" s="55"/>
      <c r="J14" s="100"/>
      <c r="K14" s="100"/>
      <c r="M14" s="37"/>
      <c r="N14" s="55"/>
      <c r="O14" s="55"/>
      <c r="P14" s="55"/>
      <c r="Q14" s="100"/>
      <c r="R14" s="100"/>
      <c r="S14" s="55"/>
      <c r="T14" s="55"/>
      <c r="U14" s="55"/>
      <c r="V14" s="100"/>
      <c r="W14" s="100"/>
      <c r="Y14" s="37"/>
      <c r="Z14" s="55"/>
      <c r="AA14" s="55"/>
      <c r="AB14" s="55"/>
      <c r="AC14" s="100"/>
      <c r="AD14" s="100"/>
      <c r="AE14" s="55"/>
      <c r="AF14" s="55"/>
      <c r="AG14" s="55"/>
      <c r="AH14" s="100"/>
      <c r="AI14" s="100"/>
    </row>
    <row r="15" spans="1:36" ht="14.25" customHeight="1" x14ac:dyDescent="0.25">
      <c r="A15" s="37" t="s">
        <v>49</v>
      </c>
      <c r="B15" s="55"/>
      <c r="C15" s="63">
        <v>1240</v>
      </c>
      <c r="D15" s="64">
        <v>-0.4</v>
      </c>
      <c r="E15" s="99">
        <v>-0.8</v>
      </c>
      <c r="F15" s="99">
        <v>-0.1</v>
      </c>
      <c r="G15" s="63"/>
      <c r="H15" s="63">
        <v>270090</v>
      </c>
      <c r="I15" s="64">
        <v>0.3</v>
      </c>
      <c r="J15" s="99">
        <v>0.3</v>
      </c>
      <c r="K15" s="99">
        <v>0.3</v>
      </c>
      <c r="L15" s="65"/>
      <c r="M15" s="37" t="s">
        <v>49</v>
      </c>
      <c r="N15" s="55"/>
      <c r="O15" s="63">
        <v>1330</v>
      </c>
      <c r="P15" s="64">
        <v>-0.5</v>
      </c>
      <c r="Q15" s="99">
        <v>-0.9</v>
      </c>
      <c r="R15" s="99">
        <v>-0.2</v>
      </c>
      <c r="S15" s="63"/>
      <c r="T15" s="63">
        <v>279630</v>
      </c>
      <c r="U15" s="64">
        <v>-0.5</v>
      </c>
      <c r="V15" s="99">
        <v>-0.5</v>
      </c>
      <c r="W15" s="99">
        <v>-0.4</v>
      </c>
      <c r="X15" s="65"/>
      <c r="Y15" s="37" t="s">
        <v>49</v>
      </c>
      <c r="Z15" s="55"/>
      <c r="AA15" s="63">
        <v>2570</v>
      </c>
      <c r="AB15" s="64">
        <v>-0.5</v>
      </c>
      <c r="AC15" s="99">
        <v>-0.7</v>
      </c>
      <c r="AD15" s="99">
        <v>-0.2</v>
      </c>
      <c r="AE15" s="63"/>
      <c r="AF15" s="63">
        <v>549710</v>
      </c>
      <c r="AG15" s="64">
        <v>-0.1</v>
      </c>
      <c r="AH15" s="99">
        <v>-0.1</v>
      </c>
      <c r="AI15" s="99">
        <v>-0.1</v>
      </c>
      <c r="AJ15" s="65"/>
    </row>
    <row r="16" spans="1:36" x14ac:dyDescent="0.25">
      <c r="A16" s="66"/>
      <c r="B16" s="55"/>
      <c r="C16" s="63"/>
      <c r="D16" s="64"/>
      <c r="E16" s="99"/>
      <c r="F16" s="99"/>
      <c r="G16" s="63"/>
      <c r="H16" s="63"/>
      <c r="I16" s="64"/>
      <c r="J16" s="99"/>
      <c r="K16" s="99"/>
      <c r="L16" s="65"/>
      <c r="M16" s="66"/>
      <c r="N16" s="55"/>
      <c r="O16" s="63"/>
      <c r="P16" s="64"/>
      <c r="Q16" s="99"/>
      <c r="R16" s="99"/>
      <c r="S16" s="63"/>
      <c r="T16" s="63"/>
      <c r="U16" s="64"/>
      <c r="V16" s="99"/>
      <c r="W16" s="99"/>
      <c r="X16" s="65"/>
      <c r="Y16" s="66"/>
      <c r="Z16" s="55"/>
      <c r="AA16" s="63"/>
      <c r="AB16" s="64"/>
      <c r="AC16" s="99"/>
      <c r="AD16" s="99"/>
      <c r="AE16" s="63"/>
      <c r="AF16" s="63"/>
      <c r="AG16" s="64"/>
      <c r="AH16" s="99"/>
      <c r="AI16" s="99"/>
      <c r="AJ16" s="65"/>
    </row>
    <row r="17" spans="1:36" x14ac:dyDescent="0.25">
      <c r="A17" s="67" t="s">
        <v>45</v>
      </c>
      <c r="B17" s="55"/>
      <c r="C17" s="63">
        <v>680</v>
      </c>
      <c r="D17" s="64">
        <v>0.7</v>
      </c>
      <c r="E17" s="99">
        <v>0.2</v>
      </c>
      <c r="F17" s="99">
        <v>1.1000000000000001</v>
      </c>
      <c r="G17" s="63"/>
      <c r="H17" s="63">
        <v>238010</v>
      </c>
      <c r="I17" s="64">
        <v>0.6</v>
      </c>
      <c r="J17" s="99">
        <v>0.6</v>
      </c>
      <c r="K17" s="99">
        <v>0.6</v>
      </c>
      <c r="L17" s="65"/>
      <c r="M17" s="67" t="s">
        <v>45</v>
      </c>
      <c r="N17" s="55"/>
      <c r="O17" s="63">
        <v>490</v>
      </c>
      <c r="P17" s="64">
        <v>1.3</v>
      </c>
      <c r="Q17" s="99">
        <v>0.8</v>
      </c>
      <c r="R17" s="99">
        <v>1.9</v>
      </c>
      <c r="S17" s="63"/>
      <c r="T17" s="63">
        <v>218500</v>
      </c>
      <c r="U17" s="64">
        <v>-0.1</v>
      </c>
      <c r="V17" s="99">
        <v>-0.1</v>
      </c>
      <c r="W17" s="99">
        <v>0</v>
      </c>
      <c r="X17" s="65"/>
      <c r="Y17" s="67" t="s">
        <v>45</v>
      </c>
      <c r="Z17" s="55"/>
      <c r="AA17" s="63">
        <v>1180</v>
      </c>
      <c r="AB17" s="64">
        <v>0.9</v>
      </c>
      <c r="AC17" s="99">
        <v>0.6</v>
      </c>
      <c r="AD17" s="99">
        <v>1.3</v>
      </c>
      <c r="AE17" s="63"/>
      <c r="AF17" s="63">
        <v>456510</v>
      </c>
      <c r="AG17" s="64">
        <v>0.3</v>
      </c>
      <c r="AH17" s="99">
        <v>0.3</v>
      </c>
      <c r="AI17" s="99">
        <v>0.3</v>
      </c>
      <c r="AJ17" s="65"/>
    </row>
    <row r="18" spans="1:36" x14ac:dyDescent="0.25">
      <c r="A18" s="67"/>
      <c r="B18" s="55"/>
      <c r="C18" s="68"/>
      <c r="D18" s="69"/>
      <c r="E18" s="101"/>
      <c r="F18" s="101"/>
      <c r="G18" s="70"/>
      <c r="H18" s="68"/>
      <c r="I18" s="69"/>
      <c r="J18" s="101"/>
      <c r="K18" s="101"/>
      <c r="L18" s="71"/>
      <c r="M18" s="67"/>
      <c r="N18" s="55"/>
      <c r="O18" s="68"/>
      <c r="P18" s="69"/>
      <c r="Q18" s="101"/>
      <c r="R18" s="101"/>
      <c r="S18" s="70"/>
      <c r="T18" s="68"/>
      <c r="U18" s="69"/>
      <c r="V18" s="101"/>
      <c r="W18" s="101"/>
      <c r="X18" s="71"/>
      <c r="Y18" s="67"/>
      <c r="Z18" s="55"/>
      <c r="AA18" s="68"/>
      <c r="AB18" s="69"/>
      <c r="AC18" s="101"/>
      <c r="AD18" s="101"/>
      <c r="AE18" s="70"/>
      <c r="AF18" s="68"/>
      <c r="AG18" s="69"/>
      <c r="AH18" s="101"/>
      <c r="AI18" s="101"/>
      <c r="AJ18" s="71"/>
    </row>
    <row r="19" spans="1:36" x14ac:dyDescent="0.25">
      <c r="A19" s="67" t="s">
        <v>60</v>
      </c>
      <c r="B19" s="55"/>
      <c r="C19" s="63">
        <v>560</v>
      </c>
      <c r="D19" s="64">
        <v>-1.8</v>
      </c>
      <c r="E19" s="99">
        <v>-2.2999999999999998</v>
      </c>
      <c r="F19" s="99">
        <v>-1.2</v>
      </c>
      <c r="G19" s="63"/>
      <c r="H19" s="63">
        <v>31890</v>
      </c>
      <c r="I19" s="64">
        <v>-1.9</v>
      </c>
      <c r="J19" s="99">
        <v>-2</v>
      </c>
      <c r="K19" s="99">
        <v>-1.8</v>
      </c>
      <c r="L19" s="65"/>
      <c r="M19" s="67" t="s">
        <v>60</v>
      </c>
      <c r="N19" s="55"/>
      <c r="O19" s="63">
        <v>830</v>
      </c>
      <c r="P19" s="64">
        <v>-1.6</v>
      </c>
      <c r="Q19" s="99">
        <v>-2</v>
      </c>
      <c r="R19" s="99">
        <v>-1.2</v>
      </c>
      <c r="S19" s="63"/>
      <c r="T19" s="63">
        <v>60910</v>
      </c>
      <c r="U19" s="64">
        <v>-1.9</v>
      </c>
      <c r="V19" s="99">
        <v>-1.9</v>
      </c>
      <c r="W19" s="99">
        <v>-1.8</v>
      </c>
      <c r="X19" s="65"/>
      <c r="Y19" s="67" t="s">
        <v>60</v>
      </c>
      <c r="Z19" s="55"/>
      <c r="AA19" s="63">
        <v>1390</v>
      </c>
      <c r="AB19" s="64">
        <v>-1.7</v>
      </c>
      <c r="AC19" s="99">
        <v>-2</v>
      </c>
      <c r="AD19" s="99">
        <v>-1.3</v>
      </c>
      <c r="AE19" s="63"/>
      <c r="AF19" s="63">
        <v>92800</v>
      </c>
      <c r="AG19" s="64">
        <v>-1.9</v>
      </c>
      <c r="AH19" s="99">
        <v>-1.9</v>
      </c>
      <c r="AI19" s="99">
        <v>-1.8</v>
      </c>
      <c r="AJ19" s="65"/>
    </row>
    <row r="20" spans="1:36" x14ac:dyDescent="0.25">
      <c r="A20" s="67"/>
      <c r="B20" s="67" t="s">
        <v>46</v>
      </c>
      <c r="C20" s="63">
        <v>150</v>
      </c>
      <c r="D20" s="64">
        <v>-4.7</v>
      </c>
      <c r="E20" s="99">
        <v>-5.7</v>
      </c>
      <c r="F20" s="99">
        <v>-3.7</v>
      </c>
      <c r="G20" s="63"/>
      <c r="H20" s="63">
        <v>3820</v>
      </c>
      <c r="I20" s="64">
        <v>-5.4</v>
      </c>
      <c r="J20" s="99">
        <v>-5.6</v>
      </c>
      <c r="K20" s="99">
        <v>-5.2</v>
      </c>
      <c r="L20" s="65"/>
      <c r="M20" s="67"/>
      <c r="N20" s="67" t="s">
        <v>46</v>
      </c>
      <c r="O20" s="63">
        <v>340</v>
      </c>
      <c r="P20" s="64">
        <v>-3.9</v>
      </c>
      <c r="Q20" s="99">
        <v>-4.5</v>
      </c>
      <c r="R20" s="99">
        <v>-3.2</v>
      </c>
      <c r="S20" s="63"/>
      <c r="T20" s="63">
        <v>10640</v>
      </c>
      <c r="U20" s="64">
        <v>-4.7</v>
      </c>
      <c r="V20" s="99">
        <v>-4.8</v>
      </c>
      <c r="W20" s="99">
        <v>-4.5999999999999996</v>
      </c>
      <c r="X20" s="65"/>
      <c r="Y20" s="67"/>
      <c r="Z20" s="67" t="s">
        <v>46</v>
      </c>
      <c r="AA20" s="63">
        <v>490</v>
      </c>
      <c r="AB20" s="64">
        <v>-4.0999999999999996</v>
      </c>
      <c r="AC20" s="99">
        <v>-4.7</v>
      </c>
      <c r="AD20" s="99">
        <v>-3.6</v>
      </c>
      <c r="AE20" s="63"/>
      <c r="AF20" s="63">
        <v>14460</v>
      </c>
      <c r="AG20" s="64">
        <v>-4.9000000000000004</v>
      </c>
      <c r="AH20" s="99">
        <v>-5</v>
      </c>
      <c r="AI20" s="99">
        <v>-4.8</v>
      </c>
      <c r="AJ20" s="65"/>
    </row>
    <row r="21" spans="1:36" x14ac:dyDescent="0.25">
      <c r="A21" s="67"/>
      <c r="B21" s="67" t="s">
        <v>61</v>
      </c>
      <c r="C21" s="63">
        <v>410</v>
      </c>
      <c r="D21" s="64">
        <v>-0.7</v>
      </c>
      <c r="E21" s="99">
        <v>-1.3</v>
      </c>
      <c r="F21" s="99">
        <v>-0.1</v>
      </c>
      <c r="G21" s="63"/>
      <c r="H21" s="63">
        <v>28070</v>
      </c>
      <c r="I21" s="64">
        <v>-1.4</v>
      </c>
      <c r="J21" s="99">
        <v>-1.5</v>
      </c>
      <c r="K21" s="99">
        <v>-1.4</v>
      </c>
      <c r="L21" s="65"/>
      <c r="M21" s="67"/>
      <c r="N21" s="67" t="s">
        <v>61</v>
      </c>
      <c r="O21" s="63">
        <v>490</v>
      </c>
      <c r="P21" s="64">
        <v>0</v>
      </c>
      <c r="Q21" s="99">
        <v>-0.6</v>
      </c>
      <c r="R21" s="99">
        <v>0.5</v>
      </c>
      <c r="S21" s="63"/>
      <c r="T21" s="63">
        <v>50270</v>
      </c>
      <c r="U21" s="64">
        <v>-1.3</v>
      </c>
      <c r="V21" s="99">
        <v>-1.3</v>
      </c>
      <c r="W21" s="99">
        <v>-1.2</v>
      </c>
      <c r="X21" s="65"/>
      <c r="Y21" s="67"/>
      <c r="Z21" s="67" t="s">
        <v>61</v>
      </c>
      <c r="AA21" s="63">
        <v>900</v>
      </c>
      <c r="AB21" s="64">
        <v>-0.3</v>
      </c>
      <c r="AC21" s="99">
        <v>-0.7</v>
      </c>
      <c r="AD21" s="99">
        <v>0.1</v>
      </c>
      <c r="AE21" s="63"/>
      <c r="AF21" s="63">
        <v>78340</v>
      </c>
      <c r="AG21" s="64">
        <v>-1.3</v>
      </c>
      <c r="AH21" s="99">
        <v>-1.4</v>
      </c>
      <c r="AI21" s="99">
        <v>-1.3</v>
      </c>
      <c r="AJ21" s="65"/>
    </row>
    <row r="22" spans="1:36" x14ac:dyDescent="0.25">
      <c r="A22" s="37"/>
      <c r="B22" s="55"/>
      <c r="C22" s="55"/>
      <c r="D22" s="55"/>
      <c r="E22" s="100"/>
      <c r="F22" s="100"/>
      <c r="G22" s="55"/>
      <c r="H22" s="55"/>
      <c r="I22" s="55"/>
      <c r="J22" s="100"/>
      <c r="K22" s="100"/>
      <c r="M22" s="37"/>
      <c r="N22" s="55"/>
      <c r="O22" s="55"/>
      <c r="P22" s="55"/>
      <c r="Q22" s="100"/>
      <c r="R22" s="100"/>
      <c r="S22" s="55"/>
      <c r="T22" s="55"/>
      <c r="U22" s="55"/>
      <c r="V22" s="100"/>
      <c r="W22" s="100"/>
      <c r="Y22" s="37"/>
      <c r="Z22" s="55"/>
      <c r="AA22" s="55"/>
      <c r="AB22" s="55"/>
      <c r="AC22" s="100"/>
      <c r="AD22" s="100"/>
      <c r="AE22" s="55"/>
      <c r="AF22" s="55"/>
      <c r="AG22" s="55"/>
      <c r="AH22" s="100"/>
      <c r="AI22" s="100"/>
    </row>
    <row r="23" spans="1:36" x14ac:dyDescent="0.25">
      <c r="A23" s="62" t="s">
        <v>50</v>
      </c>
      <c r="B23" s="55"/>
      <c r="C23" s="55"/>
      <c r="D23" s="55"/>
      <c r="E23" s="100"/>
      <c r="F23" s="100"/>
      <c r="G23" s="55"/>
      <c r="H23" s="55"/>
      <c r="I23" s="55"/>
      <c r="J23" s="100"/>
      <c r="K23" s="100"/>
      <c r="M23" s="62" t="s">
        <v>50</v>
      </c>
      <c r="N23" s="55"/>
      <c r="O23" s="55"/>
      <c r="P23" s="55"/>
      <c r="Q23" s="100"/>
      <c r="R23" s="100"/>
      <c r="S23" s="55"/>
      <c r="T23" s="55"/>
      <c r="U23" s="55"/>
      <c r="V23" s="100"/>
      <c r="W23" s="100"/>
      <c r="Y23" s="62" t="s">
        <v>50</v>
      </c>
      <c r="Z23" s="55"/>
      <c r="AA23" s="55"/>
      <c r="AB23" s="55"/>
      <c r="AC23" s="100"/>
      <c r="AD23" s="100"/>
      <c r="AE23" s="55"/>
      <c r="AF23" s="55"/>
      <c r="AG23" s="55"/>
      <c r="AH23" s="100"/>
      <c r="AI23" s="100"/>
    </row>
    <row r="24" spans="1:36" x14ac:dyDescent="0.25">
      <c r="A24" s="37"/>
      <c r="B24" s="55"/>
      <c r="C24" s="55"/>
      <c r="D24" s="55"/>
      <c r="E24" s="100"/>
      <c r="F24" s="100"/>
      <c r="G24" s="55"/>
      <c r="H24" s="55"/>
      <c r="I24" s="55"/>
      <c r="J24" s="100"/>
      <c r="K24" s="100"/>
      <c r="M24" s="37"/>
      <c r="N24" s="55"/>
      <c r="O24" s="55"/>
      <c r="P24" s="55"/>
      <c r="Q24" s="100"/>
      <c r="R24" s="100"/>
      <c r="S24" s="55"/>
      <c r="T24" s="55"/>
      <c r="U24" s="55"/>
      <c r="V24" s="100"/>
      <c r="W24" s="100"/>
      <c r="Y24" s="37"/>
      <c r="Z24" s="55"/>
      <c r="AA24" s="55"/>
      <c r="AB24" s="55"/>
      <c r="AC24" s="100"/>
      <c r="AD24" s="100"/>
      <c r="AE24" s="55"/>
      <c r="AF24" s="55"/>
      <c r="AG24" s="55"/>
      <c r="AH24" s="100"/>
      <c r="AI24" s="100"/>
    </row>
    <row r="25" spans="1:36" x14ac:dyDescent="0.25">
      <c r="A25" s="95" t="s">
        <v>59</v>
      </c>
      <c r="B25" s="37"/>
      <c r="C25" s="63">
        <v>1200</v>
      </c>
      <c r="D25" s="64">
        <v>0.7</v>
      </c>
      <c r="E25" s="99">
        <v>0.3</v>
      </c>
      <c r="F25" s="99">
        <v>1</v>
      </c>
      <c r="G25" s="63"/>
      <c r="H25" s="63">
        <v>270150</v>
      </c>
      <c r="I25" s="64">
        <v>0.8</v>
      </c>
      <c r="J25" s="99">
        <v>0.8</v>
      </c>
      <c r="K25" s="99">
        <v>0.9</v>
      </c>
      <c r="M25" s="95" t="s">
        <v>59</v>
      </c>
      <c r="N25" s="37"/>
      <c r="O25" s="63">
        <v>1190</v>
      </c>
      <c r="P25" s="64">
        <v>-1</v>
      </c>
      <c r="Q25" s="99">
        <v>-1.3</v>
      </c>
      <c r="R25" s="99">
        <v>-0.6</v>
      </c>
      <c r="S25" s="63"/>
      <c r="T25" s="63">
        <v>278190</v>
      </c>
      <c r="U25" s="64">
        <v>-0.8</v>
      </c>
      <c r="V25" s="99">
        <v>-0.8</v>
      </c>
      <c r="W25" s="99">
        <v>-0.8</v>
      </c>
      <c r="Y25" s="95" t="s">
        <v>59</v>
      </c>
      <c r="Z25" s="37"/>
      <c r="AA25" s="63">
        <v>2390</v>
      </c>
      <c r="AB25" s="64">
        <v>-0.2</v>
      </c>
      <c r="AC25" s="99">
        <v>-0.4</v>
      </c>
      <c r="AD25" s="99">
        <v>0.1</v>
      </c>
      <c r="AE25" s="63"/>
      <c r="AF25" s="63">
        <v>548340</v>
      </c>
      <c r="AG25" s="64">
        <v>0</v>
      </c>
      <c r="AH25" s="99">
        <v>0</v>
      </c>
      <c r="AI25" s="99">
        <v>0</v>
      </c>
    </row>
    <row r="26" spans="1:36" x14ac:dyDescent="0.25">
      <c r="A26" s="37"/>
      <c r="B26" s="55"/>
      <c r="C26" s="63"/>
      <c r="D26" s="63"/>
      <c r="E26" s="102"/>
      <c r="F26" s="102"/>
      <c r="G26" s="63"/>
      <c r="H26" s="63"/>
      <c r="I26" s="63"/>
      <c r="J26" s="102"/>
      <c r="K26" s="102"/>
      <c r="M26" s="37"/>
      <c r="N26" s="55"/>
      <c r="O26" s="63"/>
      <c r="P26" s="63"/>
      <c r="Q26" s="102"/>
      <c r="R26" s="102"/>
      <c r="S26" s="63"/>
      <c r="T26" s="63"/>
      <c r="U26" s="63"/>
      <c r="V26" s="102"/>
      <c r="W26" s="102"/>
      <c r="Y26" s="37"/>
      <c r="Z26" s="55"/>
      <c r="AA26" s="63"/>
      <c r="AB26" s="63"/>
      <c r="AC26" s="102"/>
      <c r="AD26" s="102"/>
      <c r="AE26" s="63"/>
      <c r="AF26" s="63"/>
      <c r="AG26" s="63"/>
      <c r="AH26" s="102"/>
      <c r="AI26" s="102"/>
    </row>
    <row r="27" spans="1:36" ht="14.25" customHeight="1" x14ac:dyDescent="0.25">
      <c r="A27" s="37" t="s">
        <v>49</v>
      </c>
      <c r="B27" s="55"/>
      <c r="C27" s="63">
        <v>1270</v>
      </c>
      <c r="D27" s="64">
        <v>0.2</v>
      </c>
      <c r="E27" s="99">
        <v>-0.2</v>
      </c>
      <c r="F27" s="99">
        <v>0.5</v>
      </c>
      <c r="G27" s="63"/>
      <c r="H27" s="63">
        <v>271670</v>
      </c>
      <c r="I27" s="64">
        <v>0.8</v>
      </c>
      <c r="J27" s="99">
        <v>0.8</v>
      </c>
      <c r="K27" s="99">
        <v>0.8</v>
      </c>
      <c r="L27" s="65"/>
      <c r="M27" s="37" t="s">
        <v>49</v>
      </c>
      <c r="N27" s="55"/>
      <c r="O27" s="63">
        <v>1390</v>
      </c>
      <c r="P27" s="64">
        <v>-2.1</v>
      </c>
      <c r="Q27" s="99">
        <v>-2.4</v>
      </c>
      <c r="R27" s="99">
        <v>-1.7</v>
      </c>
      <c r="S27" s="63"/>
      <c r="T27" s="63">
        <v>282670</v>
      </c>
      <c r="U27" s="64">
        <v>-0.9</v>
      </c>
      <c r="V27" s="99">
        <v>-1</v>
      </c>
      <c r="W27" s="99">
        <v>-0.9</v>
      </c>
      <c r="X27" s="65"/>
      <c r="Y27" s="37" t="s">
        <v>49</v>
      </c>
      <c r="Z27" s="55"/>
      <c r="AA27" s="63">
        <v>2660</v>
      </c>
      <c r="AB27" s="64">
        <v>-1</v>
      </c>
      <c r="AC27" s="99">
        <v>-1.2</v>
      </c>
      <c r="AD27" s="99">
        <v>-0.8</v>
      </c>
      <c r="AE27" s="63"/>
      <c r="AF27" s="63">
        <v>554340</v>
      </c>
      <c r="AG27" s="64">
        <v>-0.1</v>
      </c>
      <c r="AH27" s="99">
        <v>-0.1</v>
      </c>
      <c r="AI27" s="99">
        <v>-0.1</v>
      </c>
      <c r="AJ27" s="65"/>
    </row>
    <row r="28" spans="1:36" x14ac:dyDescent="0.25">
      <c r="A28" s="66"/>
      <c r="B28" s="55"/>
      <c r="C28" s="63"/>
      <c r="D28" s="64"/>
      <c r="E28" s="99"/>
      <c r="F28" s="99"/>
      <c r="G28" s="63"/>
      <c r="H28" s="63"/>
      <c r="I28" s="64"/>
      <c r="J28" s="99"/>
      <c r="K28" s="99"/>
      <c r="L28" s="65"/>
      <c r="M28" s="66"/>
      <c r="N28" s="55"/>
      <c r="O28" s="63"/>
      <c r="P28" s="64"/>
      <c r="Q28" s="99"/>
      <c r="R28" s="99"/>
      <c r="S28" s="63"/>
      <c r="T28" s="63"/>
      <c r="U28" s="64"/>
      <c r="V28" s="99"/>
      <c r="W28" s="99"/>
      <c r="X28" s="65"/>
      <c r="Y28" s="66"/>
      <c r="Z28" s="55"/>
      <c r="AA28" s="63"/>
      <c r="AB28" s="64"/>
      <c r="AC28" s="99"/>
      <c r="AD28" s="99"/>
      <c r="AE28" s="63"/>
      <c r="AF28" s="63"/>
      <c r="AG28" s="64"/>
      <c r="AH28" s="99"/>
      <c r="AI28" s="99"/>
      <c r="AJ28" s="65"/>
    </row>
    <row r="29" spans="1:36" x14ac:dyDescent="0.25">
      <c r="A29" s="67" t="s">
        <v>45</v>
      </c>
      <c r="B29" s="55"/>
      <c r="C29" s="63">
        <v>680</v>
      </c>
      <c r="D29" s="64">
        <v>1.7</v>
      </c>
      <c r="E29" s="99">
        <v>1.2</v>
      </c>
      <c r="F29" s="99">
        <v>2.2000000000000002</v>
      </c>
      <c r="G29" s="63"/>
      <c r="H29" s="63">
        <v>238430</v>
      </c>
      <c r="I29" s="64">
        <v>1.2</v>
      </c>
      <c r="J29" s="99">
        <v>1.1000000000000001</v>
      </c>
      <c r="K29" s="99">
        <v>1.2</v>
      </c>
      <c r="L29" s="65"/>
      <c r="M29" s="67" t="s">
        <v>45</v>
      </c>
      <c r="N29" s="55"/>
      <c r="O29" s="63">
        <v>490</v>
      </c>
      <c r="P29" s="64">
        <v>0.6</v>
      </c>
      <c r="Q29" s="99">
        <v>0.1</v>
      </c>
      <c r="R29" s="99">
        <v>1.2</v>
      </c>
      <c r="S29" s="63"/>
      <c r="T29" s="63">
        <v>219010</v>
      </c>
      <c r="U29" s="64">
        <v>-0.2</v>
      </c>
      <c r="V29" s="99">
        <v>-0.2</v>
      </c>
      <c r="W29" s="99">
        <v>-0.2</v>
      </c>
      <c r="X29" s="65"/>
      <c r="Y29" s="67" t="s">
        <v>45</v>
      </c>
      <c r="Z29" s="55"/>
      <c r="AA29" s="63">
        <v>1180</v>
      </c>
      <c r="AB29" s="64">
        <v>1.3</v>
      </c>
      <c r="AC29" s="99">
        <v>0.9</v>
      </c>
      <c r="AD29" s="99">
        <v>1.6</v>
      </c>
      <c r="AE29" s="63"/>
      <c r="AF29" s="63">
        <v>457440</v>
      </c>
      <c r="AG29" s="64">
        <v>0.5</v>
      </c>
      <c r="AH29" s="99">
        <v>0.5</v>
      </c>
      <c r="AI29" s="99">
        <v>0.5</v>
      </c>
      <c r="AJ29" s="65"/>
    </row>
    <row r="30" spans="1:36" x14ac:dyDescent="0.25">
      <c r="A30" s="67"/>
      <c r="B30" s="55"/>
      <c r="C30" s="68"/>
      <c r="D30" s="69"/>
      <c r="E30" s="101"/>
      <c r="F30" s="101"/>
      <c r="G30" s="70"/>
      <c r="H30" s="68"/>
      <c r="I30" s="69"/>
      <c r="J30" s="101"/>
      <c r="K30" s="101"/>
      <c r="L30" s="71"/>
      <c r="M30" s="67"/>
      <c r="N30" s="55"/>
      <c r="O30" s="68"/>
      <c r="P30" s="69"/>
      <c r="Q30" s="101"/>
      <c r="R30" s="101"/>
      <c r="S30" s="70"/>
      <c r="T30" s="68"/>
      <c r="U30" s="69"/>
      <c r="V30" s="101"/>
      <c r="W30" s="101"/>
      <c r="X30" s="71"/>
      <c r="Y30" s="67"/>
      <c r="Z30" s="55"/>
      <c r="AA30" s="68"/>
      <c r="AB30" s="69"/>
      <c r="AC30" s="101"/>
      <c r="AD30" s="101"/>
      <c r="AE30" s="70"/>
      <c r="AF30" s="68"/>
      <c r="AG30" s="69"/>
      <c r="AH30" s="101"/>
      <c r="AI30" s="101"/>
      <c r="AJ30" s="71"/>
    </row>
    <row r="31" spans="1:36" x14ac:dyDescent="0.25">
      <c r="A31" s="67" t="s">
        <v>60</v>
      </c>
      <c r="B31" s="55"/>
      <c r="C31" s="63">
        <v>590</v>
      </c>
      <c r="D31" s="64">
        <v>-1.6</v>
      </c>
      <c r="E31" s="99">
        <v>-2.1</v>
      </c>
      <c r="F31" s="99">
        <v>-1</v>
      </c>
      <c r="G31" s="63"/>
      <c r="H31" s="63">
        <v>33060</v>
      </c>
      <c r="I31" s="64">
        <v>-1.9</v>
      </c>
      <c r="J31" s="99">
        <v>-1.9</v>
      </c>
      <c r="K31" s="99">
        <v>-1.8</v>
      </c>
      <c r="L31" s="65"/>
      <c r="M31" s="67" t="s">
        <v>60</v>
      </c>
      <c r="N31" s="55"/>
      <c r="O31" s="63">
        <v>890</v>
      </c>
      <c r="P31" s="64">
        <v>-3.5</v>
      </c>
      <c r="Q31" s="99">
        <v>-4</v>
      </c>
      <c r="R31" s="99">
        <v>-3.1</v>
      </c>
      <c r="S31" s="63"/>
      <c r="T31" s="63">
        <v>63440</v>
      </c>
      <c r="U31" s="64">
        <v>-3.5</v>
      </c>
      <c r="V31" s="99">
        <v>-3.6</v>
      </c>
      <c r="W31" s="99">
        <v>-3.5</v>
      </c>
      <c r="X31" s="65"/>
      <c r="Y31" s="67" t="s">
        <v>60</v>
      </c>
      <c r="Z31" s="55"/>
      <c r="AA31" s="63">
        <v>1480</v>
      </c>
      <c r="AB31" s="64">
        <v>-2.7</v>
      </c>
      <c r="AC31" s="99">
        <v>-3.1</v>
      </c>
      <c r="AD31" s="99">
        <v>-2.4</v>
      </c>
      <c r="AE31" s="63"/>
      <c r="AF31" s="63">
        <v>96500</v>
      </c>
      <c r="AG31" s="64">
        <v>-3</v>
      </c>
      <c r="AH31" s="99">
        <v>-3</v>
      </c>
      <c r="AI31" s="99">
        <v>-2.9</v>
      </c>
      <c r="AJ31" s="65"/>
    </row>
    <row r="32" spans="1:36" x14ac:dyDescent="0.25">
      <c r="A32" s="67"/>
      <c r="B32" s="67" t="s">
        <v>46</v>
      </c>
      <c r="C32" s="63">
        <v>160</v>
      </c>
      <c r="D32" s="64">
        <v>-4.4000000000000004</v>
      </c>
      <c r="E32" s="99">
        <v>-5.3</v>
      </c>
      <c r="F32" s="99">
        <v>-3.4</v>
      </c>
      <c r="G32" s="63"/>
      <c r="H32" s="63">
        <v>4120</v>
      </c>
      <c r="I32" s="64">
        <v>-5.2</v>
      </c>
      <c r="J32" s="99">
        <v>-5.4</v>
      </c>
      <c r="K32" s="99">
        <v>-5</v>
      </c>
      <c r="L32" s="65"/>
      <c r="M32" s="67"/>
      <c r="N32" s="67" t="s">
        <v>46</v>
      </c>
      <c r="O32" s="63">
        <v>380</v>
      </c>
      <c r="P32" s="64">
        <v>-5.8</v>
      </c>
      <c r="Q32" s="99">
        <v>-6.4</v>
      </c>
      <c r="R32" s="99">
        <v>-5.0999999999999996</v>
      </c>
      <c r="S32" s="63"/>
      <c r="T32" s="63">
        <v>11540</v>
      </c>
      <c r="U32" s="64">
        <v>-5.6</v>
      </c>
      <c r="V32" s="99">
        <v>-5.7</v>
      </c>
      <c r="W32" s="99">
        <v>-5.5</v>
      </c>
      <c r="X32" s="65"/>
      <c r="Y32" s="67"/>
      <c r="Z32" s="67" t="s">
        <v>46</v>
      </c>
      <c r="AA32" s="63">
        <v>540</v>
      </c>
      <c r="AB32" s="64">
        <v>-5.3</v>
      </c>
      <c r="AC32" s="99">
        <v>-5.9</v>
      </c>
      <c r="AD32" s="99">
        <v>-4.8</v>
      </c>
      <c r="AE32" s="63"/>
      <c r="AF32" s="63">
        <v>15660</v>
      </c>
      <c r="AG32" s="64">
        <v>-5.5</v>
      </c>
      <c r="AH32" s="99">
        <v>-5.6</v>
      </c>
      <c r="AI32" s="99">
        <v>-5.4</v>
      </c>
      <c r="AJ32" s="65"/>
    </row>
    <row r="33" spans="1:36" x14ac:dyDescent="0.25">
      <c r="A33" s="67"/>
      <c r="B33" s="67" t="s">
        <v>61</v>
      </c>
      <c r="C33" s="63">
        <v>430</v>
      </c>
      <c r="D33" s="64">
        <v>-0.5</v>
      </c>
      <c r="E33" s="99">
        <v>-1.1000000000000001</v>
      </c>
      <c r="F33" s="99">
        <v>0.1</v>
      </c>
      <c r="G33" s="63"/>
      <c r="H33" s="63">
        <v>28940</v>
      </c>
      <c r="I33" s="64">
        <v>-1.4</v>
      </c>
      <c r="J33" s="99">
        <v>-1.5</v>
      </c>
      <c r="K33" s="99">
        <v>-1.3</v>
      </c>
      <c r="L33" s="65"/>
      <c r="M33" s="67"/>
      <c r="N33" s="67" t="s">
        <v>61</v>
      </c>
      <c r="O33" s="63">
        <v>510</v>
      </c>
      <c r="P33" s="64">
        <v>-1.9</v>
      </c>
      <c r="Q33" s="99">
        <v>-2.4</v>
      </c>
      <c r="R33" s="99">
        <v>-1.3</v>
      </c>
      <c r="S33" s="63"/>
      <c r="T33" s="63">
        <v>51900</v>
      </c>
      <c r="U33" s="64">
        <v>-3.1</v>
      </c>
      <c r="V33" s="99">
        <v>-3.1</v>
      </c>
      <c r="W33" s="99">
        <v>-3</v>
      </c>
      <c r="X33" s="65"/>
      <c r="Y33" s="67"/>
      <c r="Z33" s="67" t="s">
        <v>61</v>
      </c>
      <c r="AA33" s="63">
        <v>940</v>
      </c>
      <c r="AB33" s="64">
        <v>-1.3</v>
      </c>
      <c r="AC33" s="99">
        <v>-1.7</v>
      </c>
      <c r="AD33" s="99">
        <v>-0.8</v>
      </c>
      <c r="AE33" s="63"/>
      <c r="AF33" s="63">
        <v>80840</v>
      </c>
      <c r="AG33" s="64">
        <v>-2.5</v>
      </c>
      <c r="AH33" s="99">
        <v>-2.5</v>
      </c>
      <c r="AI33" s="99">
        <v>-2.4</v>
      </c>
      <c r="AJ33" s="65"/>
    </row>
    <row r="34" spans="1:36" x14ac:dyDescent="0.25">
      <c r="A34" s="67"/>
      <c r="B34" s="67"/>
      <c r="C34" s="63"/>
      <c r="D34" s="63"/>
      <c r="E34" s="102"/>
      <c r="F34" s="102"/>
      <c r="G34" s="63"/>
      <c r="H34" s="63"/>
      <c r="I34" s="63"/>
      <c r="J34" s="102"/>
      <c r="K34" s="102"/>
      <c r="M34" s="67"/>
      <c r="N34" s="67"/>
      <c r="O34" s="63"/>
      <c r="P34" s="63"/>
      <c r="Q34" s="102"/>
      <c r="R34" s="102"/>
      <c r="S34" s="63"/>
      <c r="T34" s="63"/>
      <c r="U34" s="63"/>
      <c r="V34" s="102"/>
      <c r="W34" s="102"/>
      <c r="Y34" s="67"/>
      <c r="Z34" s="67"/>
      <c r="AA34" s="63"/>
      <c r="AB34" s="63"/>
      <c r="AC34" s="102"/>
      <c r="AD34" s="102"/>
      <c r="AE34" s="63"/>
      <c r="AF34" s="63"/>
      <c r="AG34" s="63"/>
      <c r="AH34" s="102"/>
      <c r="AI34" s="102"/>
    </row>
    <row r="35" spans="1:36" x14ac:dyDescent="0.25">
      <c r="A35" s="62" t="s">
        <v>51</v>
      </c>
      <c r="B35" s="55"/>
      <c r="C35" s="55"/>
      <c r="D35" s="55"/>
      <c r="E35" s="100"/>
      <c r="F35" s="100"/>
      <c r="G35" s="55"/>
      <c r="H35" s="55"/>
      <c r="I35" s="55"/>
      <c r="J35" s="100"/>
      <c r="K35" s="100"/>
      <c r="M35" s="62" t="s">
        <v>51</v>
      </c>
      <c r="N35" s="55"/>
      <c r="O35" s="55"/>
      <c r="P35" s="55"/>
      <c r="Q35" s="100"/>
      <c r="R35" s="100"/>
      <c r="S35" s="55"/>
      <c r="T35" s="55"/>
      <c r="U35" s="55"/>
      <c r="V35" s="100"/>
      <c r="W35" s="100"/>
      <c r="Y35" s="62" t="s">
        <v>51</v>
      </c>
      <c r="Z35" s="55"/>
      <c r="AA35" s="55"/>
      <c r="AB35" s="55"/>
      <c r="AC35" s="100"/>
      <c r="AD35" s="100"/>
      <c r="AE35" s="55"/>
      <c r="AF35" s="55"/>
      <c r="AG35" s="55"/>
      <c r="AH35" s="100"/>
      <c r="AI35" s="100"/>
    </row>
    <row r="36" spans="1:36" x14ac:dyDescent="0.25">
      <c r="A36" s="37"/>
      <c r="B36" s="55"/>
      <c r="C36" s="55"/>
      <c r="D36" s="55"/>
      <c r="E36" s="100"/>
      <c r="F36" s="100"/>
      <c r="G36" s="55"/>
      <c r="H36" s="55"/>
      <c r="I36" s="55"/>
      <c r="J36" s="100"/>
      <c r="K36" s="100"/>
      <c r="M36" s="37"/>
      <c r="N36" s="55"/>
      <c r="O36" s="55"/>
      <c r="P36" s="55"/>
      <c r="Q36" s="100"/>
      <c r="R36" s="100"/>
      <c r="S36" s="55"/>
      <c r="T36" s="55"/>
      <c r="U36" s="55"/>
      <c r="V36" s="100"/>
      <c r="W36" s="100"/>
      <c r="Y36" s="37"/>
      <c r="Z36" s="55"/>
      <c r="AA36" s="55"/>
      <c r="AB36" s="55"/>
      <c r="AC36" s="100"/>
      <c r="AD36" s="100"/>
      <c r="AE36" s="55"/>
      <c r="AF36" s="55"/>
      <c r="AG36" s="55"/>
      <c r="AH36" s="100"/>
      <c r="AI36" s="100"/>
    </row>
    <row r="37" spans="1:36" x14ac:dyDescent="0.25">
      <c r="A37" s="95" t="s">
        <v>59</v>
      </c>
      <c r="B37" s="55"/>
      <c r="C37" s="63">
        <v>1180</v>
      </c>
      <c r="D37" s="64">
        <v>-1.3</v>
      </c>
      <c r="E37" s="99">
        <v>-1.6</v>
      </c>
      <c r="F37" s="99">
        <v>-1</v>
      </c>
      <c r="G37" s="63"/>
      <c r="H37" s="63">
        <v>269130</v>
      </c>
      <c r="I37" s="64">
        <v>-0.6</v>
      </c>
      <c r="J37" s="99">
        <v>-0.7</v>
      </c>
      <c r="K37" s="99">
        <v>-0.6</v>
      </c>
      <c r="M37" s="95" t="s">
        <v>59</v>
      </c>
      <c r="N37" s="55"/>
      <c r="O37" s="63">
        <v>1160</v>
      </c>
      <c r="P37" s="64">
        <v>0.3</v>
      </c>
      <c r="Q37" s="99">
        <v>0</v>
      </c>
      <c r="R37" s="99">
        <v>0.6</v>
      </c>
      <c r="S37" s="63"/>
      <c r="T37" s="63">
        <v>276700</v>
      </c>
      <c r="U37" s="64">
        <v>0.6</v>
      </c>
      <c r="V37" s="99">
        <v>0.6</v>
      </c>
      <c r="W37" s="99">
        <v>0.6</v>
      </c>
      <c r="Y37" s="95" t="s">
        <v>59</v>
      </c>
      <c r="Z37" s="55"/>
      <c r="AA37" s="63">
        <v>2350</v>
      </c>
      <c r="AB37" s="64">
        <v>-0.5</v>
      </c>
      <c r="AC37" s="99">
        <v>-0.7</v>
      </c>
      <c r="AD37" s="99">
        <v>-0.3</v>
      </c>
      <c r="AE37" s="63"/>
      <c r="AF37" s="63">
        <v>545830</v>
      </c>
      <c r="AG37" s="64">
        <v>0</v>
      </c>
      <c r="AH37" s="99">
        <v>0</v>
      </c>
      <c r="AI37" s="99">
        <v>0</v>
      </c>
    </row>
    <row r="38" spans="1:36" x14ac:dyDescent="0.25">
      <c r="A38" s="62"/>
      <c r="B38" s="55"/>
      <c r="C38" s="55"/>
      <c r="D38" s="55"/>
      <c r="E38" s="100"/>
      <c r="F38" s="100"/>
      <c r="G38" s="55"/>
      <c r="H38" s="55"/>
      <c r="I38" s="55"/>
      <c r="J38" s="100"/>
      <c r="K38" s="100"/>
      <c r="M38" s="62"/>
      <c r="N38" s="55"/>
      <c r="O38" s="55"/>
      <c r="P38" s="55"/>
      <c r="Q38" s="100"/>
      <c r="R38" s="100"/>
      <c r="S38" s="55"/>
      <c r="T38" s="55"/>
      <c r="U38" s="55"/>
      <c r="V38" s="100"/>
      <c r="W38" s="100"/>
      <c r="Y38" s="62"/>
      <c r="Z38" s="55"/>
      <c r="AA38" s="55"/>
      <c r="AB38" s="55"/>
      <c r="AC38" s="100"/>
      <c r="AD38" s="100"/>
      <c r="AE38" s="55"/>
      <c r="AF38" s="55"/>
      <c r="AG38" s="55"/>
      <c r="AH38" s="100"/>
      <c r="AI38" s="100"/>
    </row>
    <row r="39" spans="1:36" ht="14.25" customHeight="1" x14ac:dyDescent="0.25">
      <c r="A39" s="37" t="s">
        <v>49</v>
      </c>
      <c r="B39" s="55"/>
      <c r="C39" s="63">
        <v>1260</v>
      </c>
      <c r="D39" s="64">
        <v>-1.7</v>
      </c>
      <c r="E39" s="99">
        <v>-2</v>
      </c>
      <c r="F39" s="99">
        <v>-1.4</v>
      </c>
      <c r="G39" s="63"/>
      <c r="H39" s="63">
        <v>270590</v>
      </c>
      <c r="I39" s="64">
        <v>-0.7</v>
      </c>
      <c r="J39" s="99">
        <v>-0.7</v>
      </c>
      <c r="K39" s="99">
        <v>-0.7</v>
      </c>
      <c r="L39" s="65"/>
      <c r="M39" s="37" t="s">
        <v>49</v>
      </c>
      <c r="N39" s="55"/>
      <c r="O39" s="63">
        <v>1340</v>
      </c>
      <c r="P39" s="64">
        <v>-0.9</v>
      </c>
      <c r="Q39" s="99">
        <v>-1.2</v>
      </c>
      <c r="R39" s="99">
        <v>-0.6</v>
      </c>
      <c r="S39" s="63"/>
      <c r="T39" s="63">
        <v>280910</v>
      </c>
      <c r="U39" s="64">
        <v>0.5</v>
      </c>
      <c r="V39" s="99">
        <v>0.5</v>
      </c>
      <c r="W39" s="99">
        <v>0.5</v>
      </c>
      <c r="X39" s="65"/>
      <c r="Y39" s="37" t="s">
        <v>49</v>
      </c>
      <c r="Z39" s="55"/>
      <c r="AA39" s="63">
        <v>2600</v>
      </c>
      <c r="AB39" s="64">
        <v>-1.3</v>
      </c>
      <c r="AC39" s="99">
        <v>-1.5</v>
      </c>
      <c r="AD39" s="99">
        <v>-1.1000000000000001</v>
      </c>
      <c r="AE39" s="63"/>
      <c r="AF39" s="63">
        <v>551500</v>
      </c>
      <c r="AG39" s="64">
        <v>-0.1</v>
      </c>
      <c r="AH39" s="99">
        <v>-0.1</v>
      </c>
      <c r="AI39" s="99">
        <v>-0.1</v>
      </c>
      <c r="AJ39" s="65"/>
    </row>
    <row r="40" spans="1:36" x14ac:dyDescent="0.25">
      <c r="A40" s="66"/>
      <c r="B40" s="55"/>
      <c r="C40" s="63"/>
      <c r="D40" s="64"/>
      <c r="E40" s="99"/>
      <c r="F40" s="99"/>
      <c r="G40" s="63"/>
      <c r="H40" s="63"/>
      <c r="I40" s="64"/>
      <c r="J40" s="99"/>
      <c r="K40" s="99"/>
      <c r="L40" s="65"/>
      <c r="M40" s="66"/>
      <c r="N40" s="55"/>
      <c r="O40" s="63"/>
      <c r="P40" s="64"/>
      <c r="Q40" s="99"/>
      <c r="R40" s="99"/>
      <c r="S40" s="63"/>
      <c r="T40" s="63"/>
      <c r="U40" s="64"/>
      <c r="V40" s="99"/>
      <c r="W40" s="99"/>
      <c r="X40" s="65"/>
      <c r="Y40" s="66"/>
      <c r="Z40" s="55"/>
      <c r="AA40" s="63"/>
      <c r="AB40" s="64"/>
      <c r="AC40" s="99"/>
      <c r="AD40" s="99"/>
      <c r="AE40" s="63"/>
      <c r="AF40" s="63"/>
      <c r="AG40" s="64"/>
      <c r="AH40" s="99"/>
      <c r="AI40" s="99"/>
      <c r="AJ40" s="65"/>
    </row>
    <row r="41" spans="1:36" x14ac:dyDescent="0.25">
      <c r="A41" s="67" t="s">
        <v>45</v>
      </c>
      <c r="B41" s="55"/>
      <c r="C41" s="63">
        <v>680</v>
      </c>
      <c r="D41" s="64">
        <v>-0.6</v>
      </c>
      <c r="E41" s="99">
        <v>-1</v>
      </c>
      <c r="F41" s="99">
        <v>-0.2</v>
      </c>
      <c r="G41" s="63"/>
      <c r="H41" s="63">
        <v>238080</v>
      </c>
      <c r="I41" s="64">
        <v>-0.4</v>
      </c>
      <c r="J41" s="99">
        <v>-0.4</v>
      </c>
      <c r="K41" s="99">
        <v>-0.4</v>
      </c>
      <c r="L41" s="65"/>
      <c r="M41" s="67" t="s">
        <v>45</v>
      </c>
      <c r="N41" s="55"/>
      <c r="O41" s="63">
        <v>490</v>
      </c>
      <c r="P41" s="64">
        <v>1.5</v>
      </c>
      <c r="Q41" s="99">
        <v>1.1000000000000001</v>
      </c>
      <c r="R41" s="99">
        <v>2</v>
      </c>
      <c r="S41" s="63"/>
      <c r="T41" s="63">
        <v>218670</v>
      </c>
      <c r="U41" s="64">
        <v>1</v>
      </c>
      <c r="V41" s="99">
        <v>1</v>
      </c>
      <c r="W41" s="99">
        <v>1</v>
      </c>
      <c r="X41" s="65"/>
      <c r="Y41" s="67" t="s">
        <v>45</v>
      </c>
      <c r="Z41" s="55"/>
      <c r="AA41" s="63">
        <v>1180</v>
      </c>
      <c r="AB41" s="64">
        <v>0.3</v>
      </c>
      <c r="AC41" s="99">
        <v>0</v>
      </c>
      <c r="AD41" s="99">
        <v>0.6</v>
      </c>
      <c r="AE41" s="63"/>
      <c r="AF41" s="63">
        <v>456750</v>
      </c>
      <c r="AG41" s="64">
        <v>0.3</v>
      </c>
      <c r="AH41" s="99">
        <v>0.3</v>
      </c>
      <c r="AI41" s="99">
        <v>0.3</v>
      </c>
      <c r="AJ41" s="65"/>
    </row>
    <row r="42" spans="1:36" x14ac:dyDescent="0.25">
      <c r="A42" s="67"/>
      <c r="B42" s="55"/>
      <c r="C42" s="68"/>
      <c r="D42" s="69"/>
      <c r="E42" s="101"/>
      <c r="F42" s="101"/>
      <c r="G42" s="70"/>
      <c r="H42" s="68"/>
      <c r="I42" s="69"/>
      <c r="J42" s="101"/>
      <c r="K42" s="101"/>
      <c r="L42" s="71"/>
      <c r="M42" s="67"/>
      <c r="N42" s="55"/>
      <c r="O42" s="68"/>
      <c r="P42" s="69"/>
      <c r="Q42" s="101"/>
      <c r="R42" s="101"/>
      <c r="S42" s="70"/>
      <c r="T42" s="68"/>
      <c r="U42" s="69"/>
      <c r="V42" s="101"/>
      <c r="W42" s="101"/>
      <c r="X42" s="71"/>
      <c r="Y42" s="67"/>
      <c r="Z42" s="55"/>
      <c r="AA42" s="68"/>
      <c r="AB42" s="69"/>
      <c r="AC42" s="101"/>
      <c r="AD42" s="101"/>
      <c r="AE42" s="70"/>
      <c r="AF42" s="68"/>
      <c r="AG42" s="69"/>
      <c r="AH42" s="101"/>
      <c r="AI42" s="101"/>
      <c r="AJ42" s="71"/>
    </row>
    <row r="43" spans="1:36" x14ac:dyDescent="0.25">
      <c r="A43" s="67" t="s">
        <v>60</v>
      </c>
      <c r="B43" s="55"/>
      <c r="C43" s="63">
        <v>570</v>
      </c>
      <c r="D43" s="64">
        <v>-3.1</v>
      </c>
      <c r="E43" s="99">
        <v>-3.6</v>
      </c>
      <c r="F43" s="99">
        <v>-2.7</v>
      </c>
      <c r="G43" s="63"/>
      <c r="H43" s="63">
        <v>32320</v>
      </c>
      <c r="I43" s="64">
        <v>-2.7</v>
      </c>
      <c r="J43" s="99">
        <v>-2.8</v>
      </c>
      <c r="K43" s="99">
        <v>-2.7</v>
      </c>
      <c r="L43" s="65"/>
      <c r="M43" s="67" t="s">
        <v>60</v>
      </c>
      <c r="N43" s="55"/>
      <c r="O43" s="63">
        <v>840</v>
      </c>
      <c r="P43" s="64">
        <v>-2.2000000000000002</v>
      </c>
      <c r="Q43" s="99">
        <v>-2.6</v>
      </c>
      <c r="R43" s="99">
        <v>-1.9</v>
      </c>
      <c r="S43" s="63"/>
      <c r="T43" s="63">
        <v>62020</v>
      </c>
      <c r="U43" s="64">
        <v>-1.4</v>
      </c>
      <c r="V43" s="99">
        <v>-1.4</v>
      </c>
      <c r="W43" s="99">
        <v>-1.3</v>
      </c>
      <c r="X43" s="65"/>
      <c r="Y43" s="67" t="s">
        <v>60</v>
      </c>
      <c r="Z43" s="55"/>
      <c r="AA43" s="63">
        <v>1420</v>
      </c>
      <c r="AB43" s="64">
        <v>-2.6</v>
      </c>
      <c r="AC43" s="99">
        <v>-2.9</v>
      </c>
      <c r="AD43" s="99">
        <v>-2.2999999999999998</v>
      </c>
      <c r="AE43" s="63"/>
      <c r="AF43" s="63">
        <v>94340</v>
      </c>
      <c r="AG43" s="64">
        <v>-1.8</v>
      </c>
      <c r="AH43" s="99">
        <v>-1.9</v>
      </c>
      <c r="AI43" s="99">
        <v>-1.8</v>
      </c>
      <c r="AJ43" s="65"/>
    </row>
    <row r="44" spans="1:36" x14ac:dyDescent="0.25">
      <c r="A44" s="67"/>
      <c r="B44" s="67" t="s">
        <v>46</v>
      </c>
      <c r="C44" s="63">
        <v>150</v>
      </c>
      <c r="D44" s="64">
        <v>-6.6</v>
      </c>
      <c r="E44" s="99">
        <v>-7.5</v>
      </c>
      <c r="F44" s="99">
        <v>-5.8</v>
      </c>
      <c r="G44" s="63"/>
      <c r="H44" s="63">
        <v>3860</v>
      </c>
      <c r="I44" s="64">
        <v>-6.9</v>
      </c>
      <c r="J44" s="99">
        <v>-7.1</v>
      </c>
      <c r="K44" s="99">
        <v>-6.7</v>
      </c>
      <c r="L44" s="65"/>
      <c r="M44" s="67"/>
      <c r="N44" s="67" t="s">
        <v>46</v>
      </c>
      <c r="O44" s="63">
        <v>350</v>
      </c>
      <c r="P44" s="64">
        <v>-5.2</v>
      </c>
      <c r="Q44" s="99">
        <v>-5.7</v>
      </c>
      <c r="R44" s="99">
        <v>-4.5999999999999996</v>
      </c>
      <c r="S44" s="63"/>
      <c r="T44" s="63">
        <v>10880</v>
      </c>
      <c r="U44" s="64">
        <v>-5.0999999999999996</v>
      </c>
      <c r="V44" s="99">
        <v>-5.2</v>
      </c>
      <c r="W44" s="99">
        <v>-5</v>
      </c>
      <c r="X44" s="65"/>
      <c r="Y44" s="67"/>
      <c r="Z44" s="67" t="s">
        <v>46</v>
      </c>
      <c r="AA44" s="63">
        <v>500</v>
      </c>
      <c r="AB44" s="64">
        <v>-5.6</v>
      </c>
      <c r="AC44" s="99">
        <v>-6.1</v>
      </c>
      <c r="AD44" s="99">
        <v>-5.0999999999999996</v>
      </c>
      <c r="AE44" s="63"/>
      <c r="AF44" s="63">
        <v>14740</v>
      </c>
      <c r="AG44" s="64">
        <v>-5.6</v>
      </c>
      <c r="AH44" s="99">
        <v>-5.7</v>
      </c>
      <c r="AI44" s="99">
        <v>-5.5</v>
      </c>
      <c r="AJ44" s="65"/>
    </row>
    <row r="45" spans="1:36" x14ac:dyDescent="0.25">
      <c r="A45" s="67"/>
      <c r="B45" s="67" t="s">
        <v>61</v>
      </c>
      <c r="C45" s="63">
        <v>420</v>
      </c>
      <c r="D45" s="64">
        <v>-1.8</v>
      </c>
      <c r="E45" s="99">
        <v>-2.2999999999999998</v>
      </c>
      <c r="F45" s="99">
        <v>-1.3</v>
      </c>
      <c r="G45" s="63"/>
      <c r="H45" s="63">
        <v>28460</v>
      </c>
      <c r="I45" s="64">
        <v>-2.2000000000000002</v>
      </c>
      <c r="J45" s="99">
        <v>-2.2000000000000002</v>
      </c>
      <c r="K45" s="99">
        <v>-2.1</v>
      </c>
      <c r="L45" s="65"/>
      <c r="M45" s="67"/>
      <c r="N45" s="67" t="s">
        <v>61</v>
      </c>
      <c r="O45" s="63">
        <v>500</v>
      </c>
      <c r="P45" s="64">
        <v>-0.2</v>
      </c>
      <c r="Q45" s="99">
        <v>-0.7</v>
      </c>
      <c r="R45" s="99">
        <v>0.3</v>
      </c>
      <c r="S45" s="63"/>
      <c r="T45" s="63">
        <v>51140</v>
      </c>
      <c r="U45" s="64">
        <v>-0.6</v>
      </c>
      <c r="V45" s="99">
        <v>-0.6</v>
      </c>
      <c r="W45" s="99">
        <v>-0.5</v>
      </c>
      <c r="X45" s="65"/>
      <c r="Y45" s="67"/>
      <c r="Z45" s="67" t="s">
        <v>61</v>
      </c>
      <c r="AA45" s="63">
        <v>920</v>
      </c>
      <c r="AB45" s="64">
        <v>-0.9</v>
      </c>
      <c r="AC45" s="99">
        <v>-1.3</v>
      </c>
      <c r="AD45" s="99">
        <v>-0.6</v>
      </c>
      <c r="AE45" s="63"/>
      <c r="AF45" s="63">
        <v>79600</v>
      </c>
      <c r="AG45" s="64">
        <v>-1.1000000000000001</v>
      </c>
      <c r="AH45" s="99">
        <v>-1.2</v>
      </c>
      <c r="AI45" s="99">
        <v>-1.1000000000000001</v>
      </c>
      <c r="AJ45" s="65"/>
    </row>
    <row r="46" spans="1:36" x14ac:dyDescent="0.25">
      <c r="A46" s="72"/>
      <c r="B46" s="72"/>
      <c r="C46" s="73"/>
      <c r="D46" s="73"/>
      <c r="E46" s="73"/>
      <c r="F46" s="73"/>
      <c r="G46" s="73"/>
      <c r="H46" s="73"/>
      <c r="I46" s="73"/>
      <c r="J46" s="73"/>
      <c r="K46" s="73"/>
      <c r="M46" s="72"/>
      <c r="N46" s="72"/>
      <c r="O46" s="73"/>
      <c r="P46" s="73"/>
      <c r="Q46" s="73"/>
      <c r="R46" s="73"/>
      <c r="S46" s="73"/>
      <c r="T46" s="73"/>
      <c r="U46" s="73"/>
      <c r="V46" s="73"/>
      <c r="W46" s="73"/>
      <c r="Y46" s="72"/>
      <c r="Z46" s="72"/>
      <c r="AA46" s="73"/>
      <c r="AB46" s="73"/>
      <c r="AC46" s="73"/>
      <c r="AD46" s="73"/>
      <c r="AE46" s="73"/>
      <c r="AF46" s="73"/>
      <c r="AG46" s="73"/>
      <c r="AH46" s="73"/>
      <c r="AI46" s="73"/>
    </row>
    <row r="47" spans="1:36" x14ac:dyDescent="0.25">
      <c r="A47" s="74"/>
      <c r="B47" s="31"/>
      <c r="C47" s="31"/>
      <c r="D47" s="31"/>
      <c r="E47" s="31"/>
      <c r="F47" s="31"/>
      <c r="G47" s="31"/>
      <c r="K47" s="49" t="s">
        <v>26</v>
      </c>
      <c r="M47" s="74"/>
      <c r="N47" s="31"/>
      <c r="O47" s="31"/>
      <c r="P47" s="31"/>
      <c r="Q47" s="31"/>
      <c r="R47" s="31"/>
      <c r="S47" s="31"/>
      <c r="W47" s="49" t="s">
        <v>26</v>
      </c>
      <c r="Y47" s="74"/>
      <c r="Z47" s="31"/>
      <c r="AA47" s="31"/>
      <c r="AB47" s="31"/>
      <c r="AC47" s="31"/>
      <c r="AD47" s="31"/>
      <c r="AE47" s="31"/>
      <c r="AI47" s="49" t="s">
        <v>26</v>
      </c>
    </row>
  </sheetData>
  <mergeCells count="6">
    <mergeCell ref="AF8:AI8"/>
    <mergeCell ref="C8:F8"/>
    <mergeCell ref="H8:K8"/>
    <mergeCell ref="O8:R8"/>
    <mergeCell ref="T8:W8"/>
    <mergeCell ref="AA8:A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S135"/>
  <sheetViews>
    <sheetView workbookViewId="0"/>
  </sheetViews>
  <sheetFormatPr defaultColWidth="9.140625" defaultRowHeight="15" x14ac:dyDescent="0.25"/>
  <cols>
    <col min="1" max="1" width="78" style="14" bestFit="1" customWidth="1"/>
    <col min="2" max="2" width="9.42578125" style="20" bestFit="1" customWidth="1"/>
    <col min="3" max="3" width="27.5703125" style="14" bestFit="1" customWidth="1"/>
    <col min="4" max="4" width="4.42578125" style="14" bestFit="1" customWidth="1"/>
    <col min="5" max="16384" width="9.140625" style="14"/>
  </cols>
  <sheetData>
    <row r="1" spans="1:45" x14ac:dyDescent="0.25">
      <c r="E1" s="15"/>
      <c r="F1" s="31"/>
      <c r="G1" s="31"/>
      <c r="H1" s="31"/>
      <c r="I1" s="31"/>
      <c r="J1" s="31"/>
      <c r="K1" s="31"/>
      <c r="L1" s="31"/>
      <c r="M1" s="31"/>
      <c r="N1" s="31"/>
      <c r="O1" s="31"/>
      <c r="P1" s="31"/>
      <c r="Q1" s="31"/>
      <c r="S1" s="15"/>
      <c r="T1" s="31"/>
      <c r="U1" s="31"/>
      <c r="V1" s="31"/>
      <c r="W1" s="31"/>
      <c r="X1" s="31"/>
      <c r="Y1" s="31"/>
      <c r="Z1" s="31"/>
      <c r="AA1" s="31"/>
      <c r="AB1" s="31"/>
      <c r="AC1" s="31"/>
      <c r="AD1" s="31"/>
      <c r="AE1" s="31"/>
      <c r="AG1" s="15"/>
      <c r="AH1" s="31"/>
      <c r="AI1" s="31"/>
      <c r="AJ1" s="31"/>
      <c r="AK1" s="31"/>
      <c r="AL1" s="31"/>
      <c r="AM1" s="31"/>
      <c r="AN1" s="31"/>
      <c r="AO1" s="31"/>
      <c r="AP1" s="31"/>
      <c r="AQ1" s="31"/>
      <c r="AR1" s="31"/>
      <c r="AS1" s="31"/>
    </row>
    <row r="2" spans="1:45" x14ac:dyDescent="0.25">
      <c r="E2" s="204"/>
      <c r="F2" s="31"/>
      <c r="G2" s="31"/>
      <c r="H2" s="31"/>
      <c r="I2" s="31"/>
      <c r="J2" s="31"/>
      <c r="K2" s="31"/>
      <c r="L2" s="31"/>
      <c r="M2" s="31"/>
      <c r="N2" s="31"/>
      <c r="O2" s="31"/>
      <c r="P2" s="31"/>
      <c r="Q2" s="31"/>
      <c r="S2" s="204"/>
      <c r="T2" s="31"/>
      <c r="U2" s="31"/>
      <c r="V2" s="31"/>
      <c r="W2" s="31"/>
      <c r="X2" s="31"/>
      <c r="Y2" s="31"/>
      <c r="Z2" s="31"/>
      <c r="AA2" s="31"/>
      <c r="AB2" s="31"/>
      <c r="AC2" s="31"/>
      <c r="AD2" s="31"/>
      <c r="AE2" s="31"/>
      <c r="AG2" s="204"/>
      <c r="AH2" s="31"/>
      <c r="AI2" s="31"/>
      <c r="AJ2" s="31"/>
      <c r="AK2" s="31"/>
      <c r="AL2" s="31"/>
      <c r="AM2" s="31"/>
      <c r="AN2" s="31"/>
      <c r="AO2" s="31"/>
      <c r="AP2" s="31"/>
      <c r="AQ2" s="31"/>
      <c r="AR2" s="31"/>
      <c r="AS2" s="31"/>
    </row>
    <row r="3" spans="1:45" x14ac:dyDescent="0.25">
      <c r="E3" s="345" t="s">
        <v>125</v>
      </c>
      <c r="F3" s="345"/>
      <c r="G3" s="345"/>
      <c r="H3" s="345"/>
      <c r="I3" s="345"/>
      <c r="J3" s="345"/>
      <c r="K3" s="345"/>
      <c r="L3" s="345"/>
      <c r="M3" s="345"/>
      <c r="N3" s="345"/>
      <c r="O3" s="31"/>
      <c r="P3" s="31"/>
      <c r="Q3" s="31"/>
      <c r="S3" s="345" t="s">
        <v>125</v>
      </c>
      <c r="T3" s="345"/>
      <c r="U3" s="345"/>
      <c r="V3" s="345"/>
      <c r="W3" s="345"/>
      <c r="X3" s="345"/>
      <c r="Y3" s="345"/>
      <c r="Z3" s="345"/>
      <c r="AA3" s="345"/>
      <c r="AB3" s="345"/>
      <c r="AC3" s="31"/>
      <c r="AD3" s="31"/>
      <c r="AE3" s="31"/>
      <c r="AG3" s="345" t="s">
        <v>125</v>
      </c>
      <c r="AH3" s="345"/>
      <c r="AI3" s="345"/>
      <c r="AJ3" s="345"/>
      <c r="AK3" s="345"/>
      <c r="AL3" s="345"/>
      <c r="AM3" s="345"/>
      <c r="AN3" s="345"/>
      <c r="AO3" s="345"/>
      <c r="AP3" s="345"/>
      <c r="AQ3" s="31"/>
      <c r="AR3" s="31"/>
      <c r="AS3" s="31"/>
    </row>
    <row r="4" spans="1:45" x14ac:dyDescent="0.25">
      <c r="C4" s="20"/>
      <c r="D4" s="20"/>
      <c r="E4" s="32" t="s">
        <v>126</v>
      </c>
      <c r="F4" s="52"/>
      <c r="G4" s="52"/>
      <c r="H4" s="52"/>
      <c r="I4" s="52"/>
      <c r="J4" s="52"/>
      <c r="K4" s="52"/>
      <c r="L4" s="52"/>
      <c r="M4" s="156"/>
      <c r="N4" s="156"/>
      <c r="O4" s="31"/>
      <c r="P4" s="31"/>
      <c r="Q4" s="31"/>
      <c r="S4" s="32" t="s">
        <v>126</v>
      </c>
      <c r="T4" s="52"/>
      <c r="U4" s="52"/>
      <c r="V4" s="52"/>
      <c r="W4" s="52"/>
      <c r="X4" s="52"/>
      <c r="Y4" s="52"/>
      <c r="Z4" s="52"/>
      <c r="AA4" s="156"/>
      <c r="AB4" s="156"/>
      <c r="AC4" s="31"/>
      <c r="AD4" s="31"/>
      <c r="AE4" s="31"/>
      <c r="AG4" s="32" t="s">
        <v>126</v>
      </c>
      <c r="AH4" s="52"/>
      <c r="AI4" s="52"/>
      <c r="AJ4" s="52"/>
      <c r="AK4" s="52"/>
      <c r="AL4" s="52"/>
      <c r="AM4" s="52"/>
      <c r="AN4" s="52"/>
      <c r="AO4" s="156"/>
      <c r="AP4" s="156"/>
      <c r="AQ4" s="31"/>
      <c r="AR4" s="31"/>
      <c r="AS4" s="31"/>
    </row>
    <row r="5" spans="1:45" x14ac:dyDescent="0.25">
      <c r="E5" s="81" t="s">
        <v>92</v>
      </c>
      <c r="F5" s="52"/>
      <c r="G5" s="52"/>
      <c r="H5" s="52"/>
      <c r="I5" s="52"/>
      <c r="J5" s="52"/>
      <c r="K5" s="52"/>
      <c r="L5" s="52"/>
      <c r="M5" s="240" t="s">
        <v>17</v>
      </c>
      <c r="N5" s="354" t="s">
        <v>20</v>
      </c>
      <c r="O5" s="354"/>
      <c r="P5" s="354"/>
      <c r="Q5" s="355"/>
      <c r="S5" s="81" t="s">
        <v>92</v>
      </c>
      <c r="T5" s="52"/>
      <c r="U5" s="52"/>
      <c r="V5" s="52"/>
      <c r="W5" s="52"/>
      <c r="X5" s="52"/>
      <c r="Y5" s="52"/>
      <c r="Z5" s="52"/>
      <c r="AA5" s="240" t="s">
        <v>17</v>
      </c>
      <c r="AB5" s="354" t="s">
        <v>19</v>
      </c>
      <c r="AC5" s="354"/>
      <c r="AD5" s="354"/>
      <c r="AE5" s="355"/>
      <c r="AG5" s="81" t="s">
        <v>92</v>
      </c>
      <c r="AH5" s="52"/>
      <c r="AI5" s="52"/>
      <c r="AJ5" s="52"/>
      <c r="AK5" s="52"/>
      <c r="AL5" s="52"/>
      <c r="AM5" s="52"/>
      <c r="AN5" s="52"/>
      <c r="AO5" s="240" t="s">
        <v>17</v>
      </c>
      <c r="AP5" s="354" t="s">
        <v>18</v>
      </c>
      <c r="AQ5" s="354"/>
      <c r="AR5" s="354"/>
      <c r="AS5" s="355"/>
    </row>
    <row r="6" spans="1:45" x14ac:dyDescent="0.25">
      <c r="E6" s="31"/>
      <c r="F6" s="53"/>
      <c r="G6" s="53"/>
      <c r="I6" s="53"/>
      <c r="J6" s="31"/>
      <c r="K6" s="31"/>
      <c r="L6" s="31"/>
      <c r="M6" s="240" t="s">
        <v>82</v>
      </c>
      <c r="N6" s="354" t="s">
        <v>70</v>
      </c>
      <c r="O6" s="354"/>
      <c r="P6" s="354"/>
      <c r="Q6" s="355"/>
      <c r="S6" s="31"/>
      <c r="T6" s="53"/>
      <c r="U6" s="53"/>
      <c r="V6" s="53"/>
      <c r="W6" s="53"/>
      <c r="X6" s="31"/>
      <c r="Y6" s="31"/>
      <c r="Z6" s="31"/>
      <c r="AA6" s="240" t="s">
        <v>82</v>
      </c>
      <c r="AB6" s="354" t="s">
        <v>70</v>
      </c>
      <c r="AC6" s="354"/>
      <c r="AD6" s="354"/>
      <c r="AE6" s="355"/>
      <c r="AG6" s="31"/>
      <c r="AH6" s="53"/>
      <c r="AI6" s="53"/>
      <c r="AJ6" s="53"/>
      <c r="AK6" s="53"/>
      <c r="AL6" s="31"/>
      <c r="AM6" s="31"/>
      <c r="AN6" s="31"/>
      <c r="AO6" s="240" t="s">
        <v>82</v>
      </c>
      <c r="AP6" s="354" t="s">
        <v>70</v>
      </c>
      <c r="AQ6" s="354"/>
      <c r="AR6" s="354"/>
      <c r="AS6" s="355"/>
    </row>
    <row r="7" spans="1:45" x14ac:dyDescent="0.25">
      <c r="A7" s="20"/>
      <c r="E7" s="31"/>
      <c r="F7" s="53"/>
      <c r="G7" s="53"/>
      <c r="H7" s="20"/>
      <c r="I7" s="241"/>
      <c r="J7" s="189"/>
      <c r="K7" s="20"/>
      <c r="L7" s="20"/>
      <c r="M7" s="20"/>
      <c r="N7" s="20"/>
      <c r="O7" s="20"/>
      <c r="P7" s="20"/>
      <c r="Q7" s="20"/>
      <c r="S7" s="31"/>
      <c r="T7" s="53"/>
      <c r="U7" s="53"/>
      <c r="V7" s="20"/>
      <c r="W7" s="241"/>
      <c r="X7" s="189"/>
      <c r="Y7" s="20"/>
      <c r="Z7" s="20"/>
      <c r="AA7" s="20"/>
      <c r="AB7" s="20"/>
      <c r="AC7" s="20"/>
      <c r="AD7" s="20"/>
      <c r="AE7" s="20"/>
      <c r="AG7" s="31"/>
      <c r="AH7" s="53"/>
      <c r="AI7" s="53"/>
      <c r="AJ7" s="20"/>
      <c r="AK7" s="53"/>
      <c r="AL7" s="31"/>
      <c r="AM7" s="20"/>
      <c r="AN7" s="31"/>
      <c r="AO7" s="31"/>
      <c r="AP7" s="20"/>
      <c r="AQ7" s="31"/>
      <c r="AR7" s="31"/>
      <c r="AS7" s="20"/>
    </row>
    <row r="8" spans="1:45" x14ac:dyDescent="0.25">
      <c r="A8" s="20"/>
      <c r="E8" s="20">
        <v>1</v>
      </c>
      <c r="F8" s="20">
        <f>E8+1</f>
        <v>2</v>
      </c>
      <c r="G8" s="20">
        <f t="shared" ref="G8:AS8" si="0">F8+1</f>
        <v>3</v>
      </c>
      <c r="H8" s="20">
        <f t="shared" si="0"/>
        <v>4</v>
      </c>
      <c r="I8" s="20">
        <f t="shared" si="0"/>
        <v>5</v>
      </c>
      <c r="J8" s="20">
        <f t="shared" si="0"/>
        <v>6</v>
      </c>
      <c r="K8" s="20">
        <f t="shared" si="0"/>
        <v>7</v>
      </c>
      <c r="L8" s="20">
        <f t="shared" si="0"/>
        <v>8</v>
      </c>
      <c r="M8" s="20">
        <f t="shared" si="0"/>
        <v>9</v>
      </c>
      <c r="N8" s="20">
        <f t="shared" si="0"/>
        <v>10</v>
      </c>
      <c r="O8" s="20">
        <f t="shared" si="0"/>
        <v>11</v>
      </c>
      <c r="P8" s="20">
        <f t="shared" si="0"/>
        <v>12</v>
      </c>
      <c r="Q8" s="20">
        <f t="shared" si="0"/>
        <v>13</v>
      </c>
      <c r="R8" s="20">
        <f t="shared" si="0"/>
        <v>14</v>
      </c>
      <c r="S8" s="20">
        <f t="shared" si="0"/>
        <v>15</v>
      </c>
      <c r="T8" s="20">
        <f t="shared" si="0"/>
        <v>16</v>
      </c>
      <c r="U8" s="20">
        <f t="shared" si="0"/>
        <v>17</v>
      </c>
      <c r="V8" s="20">
        <f t="shared" si="0"/>
        <v>18</v>
      </c>
      <c r="W8" s="20">
        <f t="shared" si="0"/>
        <v>19</v>
      </c>
      <c r="X8" s="20">
        <f t="shared" si="0"/>
        <v>20</v>
      </c>
      <c r="Y8" s="20">
        <f t="shared" si="0"/>
        <v>21</v>
      </c>
      <c r="Z8" s="20">
        <f t="shared" si="0"/>
        <v>22</v>
      </c>
      <c r="AA8" s="20">
        <f t="shared" si="0"/>
        <v>23</v>
      </c>
      <c r="AB8" s="20">
        <f t="shared" si="0"/>
        <v>24</v>
      </c>
      <c r="AC8" s="20">
        <f t="shared" si="0"/>
        <v>25</v>
      </c>
      <c r="AD8" s="20">
        <f t="shared" si="0"/>
        <v>26</v>
      </c>
      <c r="AE8" s="20">
        <f t="shared" si="0"/>
        <v>27</v>
      </c>
      <c r="AF8" s="20">
        <f t="shared" si="0"/>
        <v>28</v>
      </c>
      <c r="AG8" s="20">
        <f t="shared" si="0"/>
        <v>29</v>
      </c>
      <c r="AH8" s="20">
        <f t="shared" si="0"/>
        <v>30</v>
      </c>
      <c r="AI8" s="20">
        <f t="shared" si="0"/>
        <v>31</v>
      </c>
      <c r="AJ8" s="20">
        <f t="shared" si="0"/>
        <v>32</v>
      </c>
      <c r="AK8" s="20">
        <f t="shared" si="0"/>
        <v>33</v>
      </c>
      <c r="AL8" s="20">
        <f t="shared" si="0"/>
        <v>34</v>
      </c>
      <c r="AM8" s="20">
        <f t="shared" si="0"/>
        <v>35</v>
      </c>
      <c r="AN8" s="20">
        <f t="shared" si="0"/>
        <v>36</v>
      </c>
      <c r="AO8" s="20">
        <f t="shared" si="0"/>
        <v>37</v>
      </c>
      <c r="AP8" s="20">
        <f t="shared" si="0"/>
        <v>38</v>
      </c>
      <c r="AQ8" s="20">
        <f t="shared" si="0"/>
        <v>39</v>
      </c>
      <c r="AR8" s="20">
        <f t="shared" si="0"/>
        <v>40</v>
      </c>
      <c r="AS8" s="20">
        <f t="shared" si="0"/>
        <v>41</v>
      </c>
    </row>
    <row r="9" spans="1:45" x14ac:dyDescent="0.25">
      <c r="E9" s="116"/>
      <c r="F9" s="117"/>
      <c r="G9" s="346" t="s">
        <v>111</v>
      </c>
      <c r="H9" s="348"/>
      <c r="I9" s="117"/>
      <c r="J9" s="346" t="s">
        <v>112</v>
      </c>
      <c r="K9" s="348"/>
      <c r="L9" s="117"/>
      <c r="M9" s="346" t="s">
        <v>113</v>
      </c>
      <c r="N9" s="348"/>
      <c r="O9" s="117"/>
      <c r="P9" s="346" t="s">
        <v>20</v>
      </c>
      <c r="Q9" s="348"/>
      <c r="S9" s="116"/>
      <c r="T9" s="117"/>
      <c r="U9" s="346" t="s">
        <v>111</v>
      </c>
      <c r="V9" s="348"/>
      <c r="W9" s="117"/>
      <c r="X9" s="346" t="s">
        <v>112</v>
      </c>
      <c r="Y9" s="348"/>
      <c r="Z9" s="117"/>
      <c r="AA9" s="346" t="s">
        <v>113</v>
      </c>
      <c r="AB9" s="348"/>
      <c r="AC9" s="117"/>
      <c r="AD9" s="346" t="s">
        <v>20</v>
      </c>
      <c r="AE9" s="348"/>
      <c r="AG9" s="116"/>
      <c r="AH9" s="117"/>
      <c r="AI9" s="346" t="s">
        <v>111</v>
      </c>
      <c r="AJ9" s="348"/>
      <c r="AK9" s="117"/>
      <c r="AL9" s="346" t="s">
        <v>112</v>
      </c>
      <c r="AM9" s="348"/>
      <c r="AN9" s="117"/>
      <c r="AO9" s="346" t="s">
        <v>113</v>
      </c>
      <c r="AP9" s="348"/>
      <c r="AQ9" s="117"/>
      <c r="AR9" s="346" t="s">
        <v>20</v>
      </c>
      <c r="AS9" s="348"/>
    </row>
    <row r="10" spans="1:45" x14ac:dyDescent="0.25">
      <c r="E10" s="26"/>
      <c r="F10" s="58"/>
      <c r="G10" s="184" t="s">
        <v>98</v>
      </c>
      <c r="H10" s="183" t="s">
        <v>99</v>
      </c>
      <c r="I10" s="118"/>
      <c r="J10" s="184" t="s">
        <v>98</v>
      </c>
      <c r="K10" s="183" t="s">
        <v>99</v>
      </c>
      <c r="L10" s="118"/>
      <c r="M10" s="184" t="s">
        <v>98</v>
      </c>
      <c r="N10" s="183" t="s">
        <v>99</v>
      </c>
      <c r="O10" s="118"/>
      <c r="P10" s="184" t="s">
        <v>98</v>
      </c>
      <c r="Q10" s="183" t="s">
        <v>99</v>
      </c>
      <c r="S10" s="26"/>
      <c r="T10" s="58"/>
      <c r="U10" s="184" t="s">
        <v>98</v>
      </c>
      <c r="V10" s="183" t="s">
        <v>99</v>
      </c>
      <c r="W10" s="118"/>
      <c r="X10" s="184" t="s">
        <v>98</v>
      </c>
      <c r="Y10" s="183" t="s">
        <v>99</v>
      </c>
      <c r="Z10" s="118"/>
      <c r="AA10" s="184" t="s">
        <v>98</v>
      </c>
      <c r="AB10" s="183" t="s">
        <v>99</v>
      </c>
      <c r="AC10" s="118"/>
      <c r="AD10" s="184" t="s">
        <v>98</v>
      </c>
      <c r="AE10" s="183" t="s">
        <v>99</v>
      </c>
      <c r="AG10" s="26"/>
      <c r="AH10" s="58"/>
      <c r="AI10" s="184" t="s">
        <v>98</v>
      </c>
      <c r="AJ10" s="183" t="s">
        <v>99</v>
      </c>
      <c r="AK10" s="118"/>
      <c r="AL10" s="184" t="s">
        <v>98</v>
      </c>
      <c r="AM10" s="183" t="s">
        <v>99</v>
      </c>
      <c r="AN10" s="118"/>
      <c r="AO10" s="184" t="s">
        <v>98</v>
      </c>
      <c r="AP10" s="183" t="s">
        <v>99</v>
      </c>
      <c r="AQ10" s="118"/>
      <c r="AR10" s="184" t="s">
        <v>98</v>
      </c>
      <c r="AS10" s="183" t="s">
        <v>99</v>
      </c>
    </row>
    <row r="11" spans="1:45" x14ac:dyDescent="0.25">
      <c r="E11" s="37"/>
      <c r="F11" s="55"/>
      <c r="G11" s="158"/>
      <c r="H11" s="157"/>
      <c r="I11" s="55"/>
      <c r="J11" s="158"/>
      <c r="K11" s="157"/>
      <c r="L11" s="55"/>
      <c r="M11" s="158"/>
      <c r="N11" s="157"/>
      <c r="O11" s="55"/>
      <c r="P11" s="158"/>
      <c r="Q11" s="157"/>
      <c r="S11" s="37"/>
      <c r="T11" s="55"/>
      <c r="U11" s="158"/>
      <c r="V11" s="157"/>
      <c r="W11" s="55"/>
      <c r="X11" s="158"/>
      <c r="Y11" s="157"/>
      <c r="Z11" s="55"/>
      <c r="AA11" s="158"/>
      <c r="AB11" s="157"/>
      <c r="AC11" s="55"/>
      <c r="AD11" s="158"/>
      <c r="AE11" s="157"/>
      <c r="AG11" s="37"/>
      <c r="AH11" s="55"/>
      <c r="AI11" s="158"/>
      <c r="AJ11" s="157"/>
      <c r="AK11" s="55"/>
      <c r="AL11" s="158"/>
      <c r="AM11" s="157"/>
      <c r="AN11" s="55"/>
      <c r="AO11" s="158"/>
      <c r="AP11" s="157"/>
      <c r="AQ11" s="55"/>
      <c r="AR11" s="158"/>
      <c r="AS11" s="157"/>
    </row>
    <row r="12" spans="1:45" x14ac:dyDescent="0.25">
      <c r="E12" s="37" t="s">
        <v>21</v>
      </c>
      <c r="F12" s="55"/>
      <c r="G12" s="158"/>
      <c r="H12" s="157"/>
      <c r="I12" s="55"/>
      <c r="J12" s="158"/>
      <c r="K12" s="157"/>
      <c r="L12" s="55"/>
      <c r="M12" s="158"/>
      <c r="N12" s="157"/>
      <c r="O12" s="55"/>
      <c r="P12" s="158"/>
      <c r="Q12" s="157"/>
      <c r="S12" s="37" t="s">
        <v>21</v>
      </c>
      <c r="T12" s="55"/>
      <c r="U12" s="158"/>
      <c r="V12" s="157"/>
      <c r="W12" s="55"/>
      <c r="X12" s="158"/>
      <c r="Y12" s="157"/>
      <c r="Z12" s="55"/>
      <c r="AA12" s="158"/>
      <c r="AB12" s="157"/>
      <c r="AC12" s="55"/>
      <c r="AD12" s="158"/>
      <c r="AE12" s="157"/>
      <c r="AG12" s="37" t="s">
        <v>21</v>
      </c>
      <c r="AH12" s="55"/>
      <c r="AI12" s="158"/>
      <c r="AJ12" s="157"/>
      <c r="AK12" s="55"/>
      <c r="AL12" s="158"/>
      <c r="AM12" s="157"/>
      <c r="AN12" s="55"/>
      <c r="AO12" s="158"/>
      <c r="AP12" s="157"/>
      <c r="AQ12" s="55"/>
      <c r="AR12" s="158"/>
      <c r="AS12" s="157"/>
    </row>
    <row r="13" spans="1:45" x14ac:dyDescent="0.25">
      <c r="A13" s="14" t="s">
        <v>70</v>
      </c>
      <c r="B13" s="20">
        <v>1</v>
      </c>
      <c r="C13" s="20"/>
      <c r="D13" s="20">
        <v>1</v>
      </c>
      <c r="E13" s="66" t="s">
        <v>127</v>
      </c>
      <c r="F13" s="55"/>
      <c r="G13" s="63">
        <v>850</v>
      </c>
      <c r="H13" s="242">
        <v>1160</v>
      </c>
      <c r="I13" s="63"/>
      <c r="J13" s="63">
        <v>170</v>
      </c>
      <c r="K13" s="242">
        <v>260</v>
      </c>
      <c r="L13" s="63"/>
      <c r="M13" s="63">
        <v>130</v>
      </c>
      <c r="N13" s="242">
        <v>130</v>
      </c>
      <c r="O13" s="63"/>
      <c r="P13" s="63">
        <v>1150</v>
      </c>
      <c r="Q13" s="242">
        <v>1540</v>
      </c>
      <c r="S13" s="66" t="s">
        <v>127</v>
      </c>
      <c r="T13" s="55"/>
      <c r="U13" s="63">
        <v>440</v>
      </c>
      <c r="V13" s="242">
        <v>590</v>
      </c>
      <c r="W13" s="63"/>
      <c r="X13" s="63">
        <v>80</v>
      </c>
      <c r="Y13" s="242">
        <v>120</v>
      </c>
      <c r="Z13" s="63"/>
      <c r="AA13" s="63">
        <v>60</v>
      </c>
      <c r="AB13" s="242">
        <v>60</v>
      </c>
      <c r="AC13" s="63"/>
      <c r="AD13" s="63">
        <v>590</v>
      </c>
      <c r="AE13" s="242">
        <v>770</v>
      </c>
      <c r="AG13" s="66" t="s">
        <v>127</v>
      </c>
      <c r="AH13" s="55"/>
      <c r="AI13" s="63">
        <v>410</v>
      </c>
      <c r="AJ13" s="242">
        <v>570</v>
      </c>
      <c r="AK13" s="63"/>
      <c r="AL13" s="63">
        <v>90</v>
      </c>
      <c r="AM13" s="242">
        <v>130</v>
      </c>
      <c r="AN13" s="63"/>
      <c r="AO13" s="63">
        <v>60</v>
      </c>
      <c r="AP13" s="242">
        <v>70</v>
      </c>
      <c r="AQ13" s="63"/>
      <c r="AR13" s="63">
        <v>560</v>
      </c>
      <c r="AS13" s="242">
        <v>770</v>
      </c>
    </row>
    <row r="14" spans="1:45" x14ac:dyDescent="0.25">
      <c r="C14" s="20"/>
      <c r="D14" s="20">
        <f>D13+1</f>
        <v>2</v>
      </c>
      <c r="E14" s="66"/>
      <c r="F14" s="55"/>
      <c r="G14" s="68"/>
      <c r="H14" s="243"/>
      <c r="I14" s="68"/>
      <c r="J14" s="68"/>
      <c r="K14" s="243"/>
      <c r="L14" s="68"/>
      <c r="M14" s="68"/>
      <c r="N14" s="243"/>
      <c r="O14" s="68"/>
      <c r="P14" s="68"/>
      <c r="Q14" s="243"/>
      <c r="S14" s="66"/>
      <c r="T14" s="55"/>
      <c r="U14" s="68"/>
      <c r="V14" s="243"/>
      <c r="W14" s="68"/>
      <c r="X14" s="68"/>
      <c r="Y14" s="243"/>
      <c r="Z14" s="68"/>
      <c r="AA14" s="68"/>
      <c r="AB14" s="243"/>
      <c r="AC14" s="68"/>
      <c r="AD14" s="68"/>
      <c r="AE14" s="243"/>
      <c r="AG14" s="66"/>
      <c r="AH14" s="55"/>
      <c r="AI14" s="68"/>
      <c r="AJ14" s="243"/>
      <c r="AK14" s="68"/>
      <c r="AL14" s="68"/>
      <c r="AM14" s="243"/>
      <c r="AN14" s="68"/>
      <c r="AO14" s="68"/>
      <c r="AP14" s="243"/>
      <c r="AQ14" s="68"/>
      <c r="AR14" s="68"/>
      <c r="AS14" s="243"/>
    </row>
    <row r="15" spans="1:45" x14ac:dyDescent="0.25">
      <c r="C15" s="20"/>
      <c r="D15" s="20">
        <f t="shared" ref="D15:D78" si="1">D14+1</f>
        <v>3</v>
      </c>
      <c r="E15" s="67" t="s">
        <v>45</v>
      </c>
      <c r="F15" s="55"/>
      <c r="G15" s="63">
        <v>400</v>
      </c>
      <c r="H15" s="242">
        <v>570</v>
      </c>
      <c r="I15" s="63"/>
      <c r="J15" s="63">
        <v>90</v>
      </c>
      <c r="K15" s="242">
        <v>160</v>
      </c>
      <c r="L15" s="63"/>
      <c r="M15" s="63">
        <v>70</v>
      </c>
      <c r="N15" s="242">
        <v>80</v>
      </c>
      <c r="O15" s="63"/>
      <c r="P15" s="63">
        <v>560</v>
      </c>
      <c r="Q15" s="242">
        <v>800</v>
      </c>
      <c r="S15" s="67" t="s">
        <v>45</v>
      </c>
      <c r="T15" s="55"/>
      <c r="U15" s="63">
        <v>170</v>
      </c>
      <c r="V15" s="242">
        <v>250</v>
      </c>
      <c r="W15" s="63"/>
      <c r="X15" s="63">
        <v>40</v>
      </c>
      <c r="Y15" s="242">
        <v>70</v>
      </c>
      <c r="Z15" s="63"/>
      <c r="AA15" s="63">
        <v>30</v>
      </c>
      <c r="AB15" s="242">
        <v>30</v>
      </c>
      <c r="AC15" s="63"/>
      <c r="AD15" s="63">
        <v>240</v>
      </c>
      <c r="AE15" s="242">
        <v>340</v>
      </c>
      <c r="AG15" s="67" t="s">
        <v>45</v>
      </c>
      <c r="AH15" s="55"/>
      <c r="AI15" s="63">
        <v>220</v>
      </c>
      <c r="AJ15" s="242">
        <v>320</v>
      </c>
      <c r="AK15" s="63"/>
      <c r="AL15" s="63">
        <v>60</v>
      </c>
      <c r="AM15" s="242">
        <v>90</v>
      </c>
      <c r="AN15" s="63"/>
      <c r="AO15" s="63">
        <v>40</v>
      </c>
      <c r="AP15" s="242">
        <v>50</v>
      </c>
      <c r="AQ15" s="63"/>
      <c r="AR15" s="63">
        <v>320</v>
      </c>
      <c r="AS15" s="242">
        <v>460</v>
      </c>
    </row>
    <row r="16" spans="1:45" x14ac:dyDescent="0.25">
      <c r="C16" s="20"/>
      <c r="D16" s="20">
        <f t="shared" si="1"/>
        <v>4</v>
      </c>
      <c r="E16" s="67"/>
      <c r="F16" s="55"/>
      <c r="G16" s="70"/>
      <c r="H16" s="244"/>
      <c r="I16" s="70"/>
      <c r="J16" s="70"/>
      <c r="K16" s="244"/>
      <c r="L16" s="70"/>
      <c r="M16" s="70"/>
      <c r="N16" s="244"/>
      <c r="O16" s="70"/>
      <c r="P16" s="70"/>
      <c r="Q16" s="244"/>
      <c r="S16" s="67"/>
      <c r="T16" s="55"/>
      <c r="U16" s="70"/>
      <c r="V16" s="244"/>
      <c r="W16" s="70"/>
      <c r="X16" s="70"/>
      <c r="Y16" s="244"/>
      <c r="Z16" s="70"/>
      <c r="AA16" s="70"/>
      <c r="AB16" s="244"/>
      <c r="AC16" s="70"/>
      <c r="AD16" s="70"/>
      <c r="AE16" s="244"/>
      <c r="AG16" s="67"/>
      <c r="AH16" s="55"/>
      <c r="AI16" s="70"/>
      <c r="AJ16" s="244"/>
      <c r="AK16" s="70"/>
      <c r="AL16" s="70"/>
      <c r="AM16" s="244"/>
      <c r="AN16" s="70"/>
      <c r="AO16" s="70"/>
      <c r="AP16" s="244"/>
      <c r="AQ16" s="70"/>
      <c r="AR16" s="70"/>
      <c r="AS16" s="244"/>
    </row>
    <row r="17" spans="3:45" x14ac:dyDescent="0.25">
      <c r="C17" s="20"/>
      <c r="D17" s="20">
        <f t="shared" si="1"/>
        <v>5</v>
      </c>
      <c r="E17" s="67" t="s">
        <v>75</v>
      </c>
      <c r="F17" s="55"/>
      <c r="G17" s="63">
        <v>450</v>
      </c>
      <c r="H17" s="242">
        <v>590</v>
      </c>
      <c r="I17" s="63"/>
      <c r="J17" s="63">
        <v>80</v>
      </c>
      <c r="K17" s="242">
        <v>100</v>
      </c>
      <c r="L17" s="63"/>
      <c r="M17" s="63">
        <v>60</v>
      </c>
      <c r="N17" s="242">
        <v>50</v>
      </c>
      <c r="O17" s="63"/>
      <c r="P17" s="63">
        <v>590</v>
      </c>
      <c r="Q17" s="242">
        <v>740</v>
      </c>
      <c r="S17" s="67" t="s">
        <v>75</v>
      </c>
      <c r="T17" s="55"/>
      <c r="U17" s="63">
        <v>270</v>
      </c>
      <c r="V17" s="242">
        <v>340</v>
      </c>
      <c r="W17" s="63"/>
      <c r="X17" s="63">
        <v>50</v>
      </c>
      <c r="Y17" s="242">
        <v>60</v>
      </c>
      <c r="Z17" s="63"/>
      <c r="AA17" s="63">
        <v>30</v>
      </c>
      <c r="AB17" s="242">
        <v>30</v>
      </c>
      <c r="AC17" s="63"/>
      <c r="AD17" s="63">
        <v>350</v>
      </c>
      <c r="AE17" s="242">
        <v>430</v>
      </c>
      <c r="AG17" s="67" t="s">
        <v>75</v>
      </c>
      <c r="AH17" s="55"/>
      <c r="AI17" s="63">
        <v>190</v>
      </c>
      <c r="AJ17" s="242">
        <v>250</v>
      </c>
      <c r="AK17" s="63"/>
      <c r="AL17" s="63">
        <v>30</v>
      </c>
      <c r="AM17" s="242">
        <v>50</v>
      </c>
      <c r="AN17" s="63"/>
      <c r="AO17" s="63">
        <v>20</v>
      </c>
      <c r="AP17" s="242">
        <v>20</v>
      </c>
      <c r="AQ17" s="63"/>
      <c r="AR17" s="63">
        <v>240</v>
      </c>
      <c r="AS17" s="242">
        <v>310</v>
      </c>
    </row>
    <row r="18" spans="3:45" x14ac:dyDescent="0.25">
      <c r="C18" s="20"/>
      <c r="D18" s="20">
        <f t="shared" si="1"/>
        <v>6</v>
      </c>
      <c r="E18" s="67" t="s">
        <v>128</v>
      </c>
      <c r="F18" s="31"/>
      <c r="G18" s="63">
        <v>220</v>
      </c>
      <c r="H18" s="242">
        <v>280</v>
      </c>
      <c r="I18" s="63"/>
      <c r="J18" s="63">
        <v>30</v>
      </c>
      <c r="K18" s="242">
        <v>50</v>
      </c>
      <c r="L18" s="63"/>
      <c r="M18" s="63">
        <v>20</v>
      </c>
      <c r="N18" s="242">
        <v>30</v>
      </c>
      <c r="O18" s="63"/>
      <c r="P18" s="63">
        <v>270</v>
      </c>
      <c r="Q18" s="242">
        <v>360</v>
      </c>
      <c r="S18" s="67" t="s">
        <v>128</v>
      </c>
      <c r="T18" s="31"/>
      <c r="U18" s="63">
        <v>140</v>
      </c>
      <c r="V18" s="242">
        <v>170</v>
      </c>
      <c r="W18" s="63"/>
      <c r="X18" s="63">
        <v>20</v>
      </c>
      <c r="Y18" s="242">
        <v>30</v>
      </c>
      <c r="Z18" s="63"/>
      <c r="AA18" s="63">
        <v>10</v>
      </c>
      <c r="AB18" s="242">
        <v>20</v>
      </c>
      <c r="AC18" s="63"/>
      <c r="AD18" s="63">
        <v>180</v>
      </c>
      <c r="AE18" s="242">
        <v>220</v>
      </c>
      <c r="AG18" s="67" t="s">
        <v>128</v>
      </c>
      <c r="AH18" s="31"/>
      <c r="AI18" s="63">
        <v>70</v>
      </c>
      <c r="AJ18" s="242">
        <v>110</v>
      </c>
      <c r="AK18" s="63"/>
      <c r="AL18" s="63">
        <v>10</v>
      </c>
      <c r="AM18" s="242">
        <v>10</v>
      </c>
      <c r="AN18" s="63"/>
      <c r="AO18" s="63">
        <v>10</v>
      </c>
      <c r="AP18" s="242">
        <v>10</v>
      </c>
      <c r="AQ18" s="63"/>
      <c r="AR18" s="63">
        <v>90</v>
      </c>
      <c r="AS18" s="242">
        <v>140</v>
      </c>
    </row>
    <row r="19" spans="3:45" x14ac:dyDescent="0.25">
      <c r="C19" s="20"/>
      <c r="D19" s="20">
        <f t="shared" si="1"/>
        <v>7</v>
      </c>
      <c r="E19" s="67" t="s">
        <v>129</v>
      </c>
      <c r="F19" s="31"/>
      <c r="G19" s="63">
        <v>240</v>
      </c>
      <c r="H19" s="242">
        <v>300</v>
      </c>
      <c r="I19" s="63"/>
      <c r="J19" s="63">
        <v>50</v>
      </c>
      <c r="K19" s="242">
        <v>60</v>
      </c>
      <c r="L19" s="63"/>
      <c r="M19" s="63">
        <v>40</v>
      </c>
      <c r="N19" s="242">
        <v>30</v>
      </c>
      <c r="O19" s="63"/>
      <c r="P19" s="63">
        <v>320</v>
      </c>
      <c r="Q19" s="242">
        <v>390</v>
      </c>
      <c r="S19" s="67" t="s">
        <v>129</v>
      </c>
      <c r="T19" s="31"/>
      <c r="U19" s="63">
        <v>130</v>
      </c>
      <c r="V19" s="242">
        <v>170</v>
      </c>
      <c r="W19" s="63"/>
      <c r="X19" s="63">
        <v>30</v>
      </c>
      <c r="Y19" s="242">
        <v>20</v>
      </c>
      <c r="Z19" s="63"/>
      <c r="AA19" s="63">
        <v>20</v>
      </c>
      <c r="AB19" s="242">
        <v>20</v>
      </c>
      <c r="AC19" s="63"/>
      <c r="AD19" s="63">
        <v>170</v>
      </c>
      <c r="AE19" s="242">
        <v>210</v>
      </c>
      <c r="AG19" s="67" t="s">
        <v>129</v>
      </c>
      <c r="AH19" s="31"/>
      <c r="AI19" s="63">
        <v>110</v>
      </c>
      <c r="AJ19" s="242">
        <v>130</v>
      </c>
      <c r="AK19" s="63"/>
      <c r="AL19" s="63">
        <v>20</v>
      </c>
      <c r="AM19" s="242">
        <v>30</v>
      </c>
      <c r="AN19" s="63"/>
      <c r="AO19" s="63">
        <v>20</v>
      </c>
      <c r="AP19" s="242">
        <v>10</v>
      </c>
      <c r="AQ19" s="63"/>
      <c r="AR19" s="63">
        <v>150</v>
      </c>
      <c r="AS19" s="242">
        <v>180</v>
      </c>
    </row>
    <row r="20" spans="3:45" x14ac:dyDescent="0.25">
      <c r="C20" s="20"/>
      <c r="D20" s="20">
        <f t="shared" si="1"/>
        <v>8</v>
      </c>
      <c r="E20" s="37"/>
      <c r="F20" s="55"/>
      <c r="G20" s="55"/>
      <c r="H20" s="157"/>
      <c r="I20" s="55"/>
      <c r="J20" s="55"/>
      <c r="K20" s="157"/>
      <c r="L20" s="55"/>
      <c r="M20" s="55"/>
      <c r="N20" s="157"/>
      <c r="O20" s="55"/>
      <c r="P20" s="55"/>
      <c r="Q20" s="157"/>
      <c r="S20" s="37"/>
      <c r="T20" s="55"/>
      <c r="U20" s="55"/>
      <c r="V20" s="157"/>
      <c r="W20" s="55"/>
      <c r="X20" s="55"/>
      <c r="Y20" s="157"/>
      <c r="Z20" s="55"/>
      <c r="AA20" s="55"/>
      <c r="AB20" s="157"/>
      <c r="AC20" s="55"/>
      <c r="AD20" s="55"/>
      <c r="AE20" s="157"/>
      <c r="AG20" s="37"/>
      <c r="AH20" s="55"/>
      <c r="AI20" s="55"/>
      <c r="AJ20" s="157"/>
      <c r="AK20" s="55"/>
      <c r="AL20" s="55"/>
      <c r="AM20" s="157"/>
      <c r="AN20" s="55"/>
      <c r="AO20" s="55"/>
      <c r="AP20" s="157"/>
      <c r="AQ20" s="55"/>
      <c r="AR20" s="55"/>
      <c r="AS20" s="157"/>
    </row>
    <row r="21" spans="3:45" x14ac:dyDescent="0.25">
      <c r="C21" s="20"/>
      <c r="D21" s="20">
        <f t="shared" si="1"/>
        <v>9</v>
      </c>
      <c r="E21" s="37" t="s">
        <v>78</v>
      </c>
      <c r="F21" s="55"/>
      <c r="G21" s="55"/>
      <c r="H21" s="157"/>
      <c r="I21" s="55"/>
      <c r="J21" s="55"/>
      <c r="K21" s="157"/>
      <c r="L21" s="55"/>
      <c r="M21" s="55"/>
      <c r="N21" s="157"/>
      <c r="O21" s="55"/>
      <c r="P21" s="55"/>
      <c r="Q21" s="157"/>
      <c r="S21" s="37" t="s">
        <v>78</v>
      </c>
      <c r="T21" s="55"/>
      <c r="U21" s="55"/>
      <c r="V21" s="157"/>
      <c r="W21" s="55"/>
      <c r="X21" s="55"/>
      <c r="Y21" s="157"/>
      <c r="Z21" s="55"/>
      <c r="AA21" s="55"/>
      <c r="AB21" s="157"/>
      <c r="AC21" s="55"/>
      <c r="AD21" s="55"/>
      <c r="AE21" s="157"/>
      <c r="AG21" s="37" t="s">
        <v>78</v>
      </c>
      <c r="AH21" s="55"/>
      <c r="AI21" s="55"/>
      <c r="AJ21" s="157"/>
      <c r="AK21" s="55"/>
      <c r="AL21" s="55"/>
      <c r="AM21" s="157"/>
      <c r="AN21" s="55"/>
      <c r="AO21" s="55"/>
      <c r="AP21" s="157"/>
      <c r="AQ21" s="55"/>
      <c r="AR21" s="55"/>
      <c r="AS21" s="157"/>
    </row>
    <row r="22" spans="3:45" x14ac:dyDescent="0.25">
      <c r="C22" s="20"/>
      <c r="D22" s="20">
        <f t="shared" si="1"/>
        <v>10</v>
      </c>
      <c r="E22" s="66" t="s">
        <v>127</v>
      </c>
      <c r="F22" s="55"/>
      <c r="G22" s="245">
        <v>24.9</v>
      </c>
      <c r="H22" s="246">
        <v>31.7</v>
      </c>
      <c r="I22" s="245"/>
      <c r="J22" s="245">
        <v>23.8</v>
      </c>
      <c r="K22" s="246">
        <v>31.5</v>
      </c>
      <c r="L22" s="245"/>
      <c r="M22" s="245">
        <v>24.4</v>
      </c>
      <c r="N22" s="246">
        <v>31</v>
      </c>
      <c r="O22" s="245"/>
      <c r="P22" s="245">
        <v>24.7</v>
      </c>
      <c r="Q22" s="246">
        <v>31.6</v>
      </c>
      <c r="S22" s="66" t="s">
        <v>127</v>
      </c>
      <c r="T22" s="55"/>
      <c r="U22" s="245">
        <v>22.4</v>
      </c>
      <c r="V22" s="246">
        <v>29.3</v>
      </c>
      <c r="W22" s="245"/>
      <c r="X22" s="245">
        <v>13.3</v>
      </c>
      <c r="Y22" s="246">
        <v>28.5</v>
      </c>
      <c r="Z22" s="245"/>
      <c r="AA22" s="245">
        <v>21.9</v>
      </c>
      <c r="AB22" s="246">
        <v>30</v>
      </c>
      <c r="AC22" s="245"/>
      <c r="AD22" s="245">
        <v>21.1</v>
      </c>
      <c r="AE22" s="246">
        <v>29.2</v>
      </c>
      <c r="AG22" s="66" t="s">
        <v>127</v>
      </c>
      <c r="AH22" s="55"/>
      <c r="AI22" s="245">
        <v>27.5</v>
      </c>
      <c r="AJ22" s="246">
        <v>34.200000000000003</v>
      </c>
      <c r="AK22" s="245"/>
      <c r="AL22" s="245">
        <v>33.700000000000003</v>
      </c>
      <c r="AM22" s="246">
        <v>34.299999999999997</v>
      </c>
      <c r="AN22" s="245"/>
      <c r="AO22" s="245">
        <v>27</v>
      </c>
      <c r="AP22" s="246">
        <v>31.9</v>
      </c>
      <c r="AQ22" s="245"/>
      <c r="AR22" s="245">
        <v>28.4</v>
      </c>
      <c r="AS22" s="246">
        <v>34</v>
      </c>
    </row>
    <row r="23" spans="3:45" x14ac:dyDescent="0.25">
      <c r="C23" s="20"/>
      <c r="D23" s="20">
        <f t="shared" si="1"/>
        <v>11</v>
      </c>
      <c r="E23" s="66"/>
      <c r="F23" s="55"/>
      <c r="G23" s="245"/>
      <c r="H23" s="247"/>
      <c r="I23" s="245"/>
      <c r="J23" s="245"/>
      <c r="K23" s="247"/>
      <c r="L23" s="245"/>
      <c r="M23" s="245"/>
      <c r="N23" s="247"/>
      <c r="O23" s="245"/>
      <c r="P23" s="245"/>
      <c r="Q23" s="247"/>
      <c r="S23" s="66"/>
      <c r="T23" s="55"/>
      <c r="U23" s="245"/>
      <c r="V23" s="247"/>
      <c r="W23" s="245"/>
      <c r="X23" s="245"/>
      <c r="Y23" s="247"/>
      <c r="Z23" s="245"/>
      <c r="AA23" s="245"/>
      <c r="AB23" s="247"/>
      <c r="AC23" s="245"/>
      <c r="AD23" s="245"/>
      <c r="AE23" s="247"/>
      <c r="AG23" s="66"/>
      <c r="AH23" s="55"/>
      <c r="AI23" s="245"/>
      <c r="AJ23" s="247"/>
      <c r="AK23" s="245"/>
      <c r="AL23" s="245"/>
      <c r="AM23" s="247"/>
      <c r="AN23" s="245"/>
      <c r="AO23" s="245"/>
      <c r="AP23" s="247"/>
      <c r="AQ23" s="245"/>
      <c r="AR23" s="245"/>
      <c r="AS23" s="247"/>
    </row>
    <row r="24" spans="3:45" x14ac:dyDescent="0.25">
      <c r="C24" s="20"/>
      <c r="D24" s="20">
        <f t="shared" si="1"/>
        <v>12</v>
      </c>
      <c r="E24" s="67" t="s">
        <v>45</v>
      </c>
      <c r="F24" s="55"/>
      <c r="G24" s="245">
        <v>43.2</v>
      </c>
      <c r="H24" s="246">
        <v>52.1</v>
      </c>
      <c r="I24" s="245"/>
      <c r="J24" s="245">
        <v>35.1</v>
      </c>
      <c r="K24" s="246">
        <v>47.1</v>
      </c>
      <c r="L24" s="245"/>
      <c r="M24" s="245">
        <v>38.6</v>
      </c>
      <c r="N24" s="246">
        <v>41.3</v>
      </c>
      <c r="O24" s="245"/>
      <c r="P24" s="245">
        <v>41.3</v>
      </c>
      <c r="Q24" s="246">
        <v>50.1</v>
      </c>
      <c r="S24" s="67" t="s">
        <v>45</v>
      </c>
      <c r="T24" s="55"/>
      <c r="U24" s="245">
        <v>43.7</v>
      </c>
      <c r="V24" s="246">
        <v>54.4</v>
      </c>
      <c r="W24" s="245"/>
      <c r="X24" s="245">
        <v>20</v>
      </c>
      <c r="Y24" s="246">
        <v>43.9</v>
      </c>
      <c r="Z24" s="245"/>
      <c r="AA24" s="245">
        <v>38.700000000000003</v>
      </c>
      <c r="AB24" s="246">
        <v>40.700000000000003</v>
      </c>
      <c r="AC24" s="245"/>
      <c r="AD24" s="245">
        <v>39.6</v>
      </c>
      <c r="AE24" s="246">
        <v>51.3</v>
      </c>
      <c r="AG24" s="67" t="s">
        <v>45</v>
      </c>
      <c r="AH24" s="55"/>
      <c r="AI24" s="245">
        <v>42.8</v>
      </c>
      <c r="AJ24" s="246">
        <v>50.3</v>
      </c>
      <c r="AK24" s="245"/>
      <c r="AL24" s="245">
        <v>44.1</v>
      </c>
      <c r="AM24" s="246">
        <v>49.4</v>
      </c>
      <c r="AN24" s="245"/>
      <c r="AO24" s="245">
        <v>38.5</v>
      </c>
      <c r="AP24" s="246">
        <v>41.7</v>
      </c>
      <c r="AQ24" s="245"/>
      <c r="AR24" s="245">
        <v>42.5</v>
      </c>
      <c r="AS24" s="246">
        <v>49.2</v>
      </c>
    </row>
    <row r="25" spans="3:45" x14ac:dyDescent="0.25">
      <c r="C25" s="20"/>
      <c r="D25" s="20">
        <f t="shared" si="1"/>
        <v>13</v>
      </c>
      <c r="E25" s="67"/>
      <c r="F25" s="55"/>
      <c r="G25" s="80"/>
      <c r="H25" s="248"/>
      <c r="I25" s="80"/>
      <c r="J25" s="80"/>
      <c r="K25" s="248"/>
      <c r="L25" s="80"/>
      <c r="M25" s="80"/>
      <c r="N25" s="248"/>
      <c r="O25" s="80"/>
      <c r="P25" s="80"/>
      <c r="Q25" s="248"/>
      <c r="S25" s="67"/>
      <c r="T25" s="55"/>
      <c r="U25" s="80"/>
      <c r="V25" s="248"/>
      <c r="W25" s="80"/>
      <c r="X25" s="80"/>
      <c r="Y25" s="248"/>
      <c r="Z25" s="80"/>
      <c r="AA25" s="80"/>
      <c r="AB25" s="248"/>
      <c r="AC25" s="80"/>
      <c r="AD25" s="80"/>
      <c r="AE25" s="248"/>
      <c r="AG25" s="67"/>
      <c r="AH25" s="55"/>
      <c r="AI25" s="80"/>
      <c r="AJ25" s="248"/>
      <c r="AK25" s="80"/>
      <c r="AL25" s="80"/>
      <c r="AM25" s="248"/>
      <c r="AN25" s="80"/>
      <c r="AO25" s="80"/>
      <c r="AP25" s="248"/>
      <c r="AQ25" s="80"/>
      <c r="AR25" s="80"/>
      <c r="AS25" s="248"/>
    </row>
    <row r="26" spans="3:45" x14ac:dyDescent="0.25">
      <c r="C26" s="20"/>
      <c r="D26" s="20">
        <f t="shared" si="1"/>
        <v>14</v>
      </c>
      <c r="E26" s="67" t="s">
        <v>75</v>
      </c>
      <c r="F26" s="55"/>
      <c r="G26" s="245">
        <v>8.8000000000000007</v>
      </c>
      <c r="H26" s="246">
        <v>11.8</v>
      </c>
      <c r="I26" s="245"/>
      <c r="J26" s="245">
        <v>10.3</v>
      </c>
      <c r="K26" s="246">
        <v>7.8</v>
      </c>
      <c r="L26" s="245"/>
      <c r="M26" s="245" t="s">
        <v>52</v>
      </c>
      <c r="N26" s="246">
        <v>16.7</v>
      </c>
      <c r="O26" s="245"/>
      <c r="P26" s="245">
        <v>8.9</v>
      </c>
      <c r="Q26" s="246">
        <v>11.6</v>
      </c>
      <c r="S26" s="67" t="s">
        <v>75</v>
      </c>
      <c r="T26" s="55"/>
      <c r="U26" s="245">
        <v>8.6</v>
      </c>
      <c r="V26" s="246">
        <v>10.9</v>
      </c>
      <c r="W26" s="245"/>
      <c r="X26" s="245" t="s">
        <v>52</v>
      </c>
      <c r="Y26" s="246">
        <v>10.5</v>
      </c>
      <c r="Z26" s="245"/>
      <c r="AA26" s="245" t="s">
        <v>52</v>
      </c>
      <c r="AB26" s="246">
        <v>21.2</v>
      </c>
      <c r="AC26" s="245"/>
      <c r="AD26" s="245">
        <v>8.3000000000000007</v>
      </c>
      <c r="AE26" s="246">
        <v>11.6</v>
      </c>
      <c r="AG26" s="67" t="s">
        <v>75</v>
      </c>
      <c r="AH26" s="55"/>
      <c r="AI26" s="245">
        <v>9.1999999999999993</v>
      </c>
      <c r="AJ26" s="246">
        <v>13.1</v>
      </c>
      <c r="AK26" s="245"/>
      <c r="AL26" s="245" t="s">
        <v>52</v>
      </c>
      <c r="AM26" s="246" t="s">
        <v>52</v>
      </c>
      <c r="AN26" s="245"/>
      <c r="AO26" s="245" t="s">
        <v>52</v>
      </c>
      <c r="AP26" s="246" t="s">
        <v>52</v>
      </c>
      <c r="AQ26" s="245"/>
      <c r="AR26" s="245">
        <v>9.6</v>
      </c>
      <c r="AS26" s="246">
        <v>11.6</v>
      </c>
    </row>
    <row r="27" spans="3:45" x14ac:dyDescent="0.25">
      <c r="C27" s="20"/>
      <c r="D27" s="20">
        <f t="shared" si="1"/>
        <v>15</v>
      </c>
      <c r="E27" s="67" t="s">
        <v>128</v>
      </c>
      <c r="F27" s="67"/>
      <c r="G27" s="245">
        <v>5.6</v>
      </c>
      <c r="H27" s="246">
        <v>4.2</v>
      </c>
      <c r="I27" s="245"/>
      <c r="J27" s="245" t="s">
        <v>52</v>
      </c>
      <c r="K27" s="246" t="s">
        <v>52</v>
      </c>
      <c r="L27" s="245"/>
      <c r="M27" s="245" t="s">
        <v>52</v>
      </c>
      <c r="N27" s="246" t="s">
        <v>52</v>
      </c>
      <c r="O27" s="245"/>
      <c r="P27" s="245">
        <v>4.5</v>
      </c>
      <c r="Q27" s="246">
        <v>4.8</v>
      </c>
      <c r="S27" s="67" t="s">
        <v>128</v>
      </c>
      <c r="T27" s="67"/>
      <c r="U27" s="245">
        <v>5</v>
      </c>
      <c r="V27" s="246">
        <v>4.0999999999999996</v>
      </c>
      <c r="W27" s="245"/>
      <c r="X27" s="245" t="s">
        <v>52</v>
      </c>
      <c r="Y27" s="246" t="s">
        <v>52</v>
      </c>
      <c r="Z27" s="245"/>
      <c r="AA27" s="245" t="s">
        <v>52</v>
      </c>
      <c r="AB27" s="246" t="s">
        <v>52</v>
      </c>
      <c r="AC27" s="245"/>
      <c r="AD27" s="245">
        <v>4</v>
      </c>
      <c r="AE27" s="246">
        <v>5.5</v>
      </c>
      <c r="AG27" s="67" t="s">
        <v>128</v>
      </c>
      <c r="AH27" s="67"/>
      <c r="AI27" s="245" t="s">
        <v>52</v>
      </c>
      <c r="AJ27" s="246" t="s">
        <v>52</v>
      </c>
      <c r="AK27" s="245"/>
      <c r="AL27" s="245" t="s">
        <v>52</v>
      </c>
      <c r="AM27" s="246" t="s">
        <v>52</v>
      </c>
      <c r="AN27" s="245"/>
      <c r="AO27" s="245" t="s">
        <v>52</v>
      </c>
      <c r="AP27" s="246" t="s">
        <v>52</v>
      </c>
      <c r="AQ27" s="245"/>
      <c r="AR27" s="245" t="s">
        <v>52</v>
      </c>
      <c r="AS27" s="246" t="s">
        <v>52</v>
      </c>
    </row>
    <row r="28" spans="3:45" x14ac:dyDescent="0.25">
      <c r="C28" s="20"/>
      <c r="D28" s="20">
        <f t="shared" si="1"/>
        <v>16</v>
      </c>
      <c r="E28" s="72" t="s">
        <v>129</v>
      </c>
      <c r="F28" s="72"/>
      <c r="G28" s="249">
        <v>11.8</v>
      </c>
      <c r="H28" s="246">
        <v>18.8</v>
      </c>
      <c r="I28" s="249"/>
      <c r="J28" s="249">
        <v>17.8</v>
      </c>
      <c r="K28" s="246" t="s">
        <v>52</v>
      </c>
      <c r="L28" s="249"/>
      <c r="M28" s="249" t="s">
        <v>52</v>
      </c>
      <c r="N28" s="246">
        <v>24.1</v>
      </c>
      <c r="O28" s="249"/>
      <c r="P28" s="249">
        <v>12.5</v>
      </c>
      <c r="Q28" s="246">
        <v>17.8</v>
      </c>
      <c r="S28" s="72" t="s">
        <v>129</v>
      </c>
      <c r="T28" s="72"/>
      <c r="U28" s="249">
        <v>12.7</v>
      </c>
      <c r="V28" s="246">
        <v>17.399999999999999</v>
      </c>
      <c r="W28" s="249"/>
      <c r="X28" s="249" t="s">
        <v>52</v>
      </c>
      <c r="Y28" s="246" t="s">
        <v>52</v>
      </c>
      <c r="Z28" s="249"/>
      <c r="AA28" s="249" t="s">
        <v>52</v>
      </c>
      <c r="AB28" s="246" t="s">
        <v>52</v>
      </c>
      <c r="AC28" s="249"/>
      <c r="AD28" s="249">
        <v>12.8</v>
      </c>
      <c r="AE28" s="246">
        <v>18</v>
      </c>
      <c r="AG28" s="72" t="s">
        <v>129</v>
      </c>
      <c r="AH28" s="72"/>
      <c r="AI28" s="249">
        <v>10.8</v>
      </c>
      <c r="AJ28" s="246">
        <v>20.6</v>
      </c>
      <c r="AK28" s="249"/>
      <c r="AL28" s="249" t="s">
        <v>52</v>
      </c>
      <c r="AM28" s="246" t="s">
        <v>52</v>
      </c>
      <c r="AN28" s="249"/>
      <c r="AO28" s="249" t="s">
        <v>52</v>
      </c>
      <c r="AP28" s="246" t="s">
        <v>52</v>
      </c>
      <c r="AQ28" s="249"/>
      <c r="AR28" s="249">
        <v>12.2</v>
      </c>
      <c r="AS28" s="246">
        <v>17.600000000000001</v>
      </c>
    </row>
    <row r="29" spans="3:45" x14ac:dyDescent="0.25">
      <c r="D29" s="20">
        <f t="shared" si="1"/>
        <v>17</v>
      </c>
      <c r="E29" s="74"/>
      <c r="F29" s="31"/>
      <c r="G29" s="31"/>
      <c r="H29" s="31"/>
      <c r="I29" s="31"/>
      <c r="J29" s="31"/>
      <c r="K29" s="31"/>
      <c r="L29" s="31"/>
      <c r="M29" s="31"/>
      <c r="N29" s="49"/>
      <c r="O29" s="31"/>
      <c r="P29" s="31"/>
      <c r="Q29" s="49" t="s">
        <v>120</v>
      </c>
      <c r="S29" s="74"/>
      <c r="T29" s="31"/>
      <c r="U29" s="31"/>
      <c r="V29" s="31"/>
      <c r="W29" s="31"/>
      <c r="X29" s="31"/>
      <c r="Y29" s="31"/>
      <c r="Z29" s="31"/>
      <c r="AA29" s="31"/>
      <c r="AB29" s="49"/>
      <c r="AC29" s="31"/>
      <c r="AD29" s="31"/>
      <c r="AE29" s="49" t="s">
        <v>120</v>
      </c>
      <c r="AG29" s="74"/>
      <c r="AH29" s="31"/>
      <c r="AI29" s="31"/>
      <c r="AJ29" s="31"/>
      <c r="AK29" s="31"/>
      <c r="AL29" s="31"/>
      <c r="AM29" s="31"/>
      <c r="AN29" s="31"/>
      <c r="AO29" s="31"/>
      <c r="AP29" s="49"/>
      <c r="AQ29" s="31"/>
      <c r="AR29" s="31"/>
      <c r="AS29" s="49" t="s">
        <v>120</v>
      </c>
    </row>
    <row r="30" spans="3:45" x14ac:dyDescent="0.25">
      <c r="D30" s="20">
        <f t="shared" si="1"/>
        <v>18</v>
      </c>
      <c r="E30" s="160"/>
      <c r="F30" s="31"/>
      <c r="G30" s="31"/>
      <c r="H30" s="31"/>
      <c r="I30" s="31"/>
      <c r="J30" s="31"/>
      <c r="K30" s="31"/>
      <c r="L30" s="31"/>
      <c r="M30" s="31"/>
      <c r="N30" s="49"/>
      <c r="O30" s="31"/>
      <c r="P30" s="31"/>
      <c r="Q30" s="31"/>
      <c r="S30" s="160"/>
      <c r="T30" s="31"/>
      <c r="U30" s="31"/>
      <c r="V30" s="31"/>
      <c r="W30" s="31"/>
      <c r="X30" s="31"/>
      <c r="Y30" s="31"/>
      <c r="Z30" s="31"/>
      <c r="AA30" s="31"/>
      <c r="AB30" s="49"/>
      <c r="AC30" s="31"/>
      <c r="AD30" s="31"/>
      <c r="AE30" s="31"/>
      <c r="AG30" s="160"/>
      <c r="AH30" s="31"/>
      <c r="AI30" s="31"/>
      <c r="AJ30" s="31"/>
      <c r="AK30" s="31"/>
      <c r="AL30" s="31"/>
      <c r="AM30" s="31"/>
      <c r="AN30" s="31"/>
      <c r="AO30" s="31"/>
      <c r="AP30" s="49"/>
      <c r="AQ30" s="31"/>
      <c r="AR30" s="31"/>
      <c r="AS30" s="31"/>
    </row>
    <row r="31" spans="3:45" x14ac:dyDescent="0.25">
      <c r="D31" s="20">
        <f t="shared" si="1"/>
        <v>19</v>
      </c>
      <c r="E31" s="51"/>
      <c r="F31" s="51"/>
      <c r="G31" s="51"/>
      <c r="H31" s="51"/>
      <c r="I31" s="51"/>
      <c r="J31" s="51"/>
      <c r="K31" s="51"/>
      <c r="L31" s="51"/>
      <c r="M31" s="51"/>
      <c r="N31" s="51"/>
      <c r="O31" s="51"/>
      <c r="P31" s="51"/>
      <c r="Q31" s="51"/>
      <c r="S31" s="51"/>
      <c r="T31" s="51"/>
      <c r="U31" s="51"/>
      <c r="V31" s="51"/>
      <c r="W31" s="51"/>
      <c r="X31" s="51"/>
      <c r="Y31" s="51"/>
      <c r="Z31" s="51"/>
      <c r="AA31" s="51"/>
      <c r="AB31" s="51"/>
      <c r="AC31" s="51"/>
      <c r="AD31" s="51"/>
      <c r="AE31" s="51"/>
      <c r="AG31" s="51"/>
      <c r="AH31" s="51"/>
      <c r="AI31" s="51"/>
      <c r="AJ31" s="51"/>
      <c r="AK31" s="51"/>
      <c r="AL31" s="51"/>
      <c r="AM31" s="51"/>
      <c r="AN31" s="51"/>
      <c r="AO31" s="51"/>
      <c r="AP31" s="51"/>
      <c r="AQ31" s="51"/>
      <c r="AR31" s="51"/>
      <c r="AS31" s="51"/>
    </row>
    <row r="32" spans="3:45" x14ac:dyDescent="0.25">
      <c r="D32" s="20">
        <f t="shared" si="1"/>
        <v>20</v>
      </c>
      <c r="E32" s="51"/>
      <c r="F32" s="51"/>
      <c r="G32" s="51"/>
      <c r="H32" s="51"/>
      <c r="I32" s="51"/>
      <c r="J32" s="51"/>
      <c r="K32" s="51"/>
      <c r="L32" s="51"/>
      <c r="M32" s="51"/>
      <c r="N32" s="51"/>
      <c r="O32" s="51"/>
      <c r="P32" s="51"/>
      <c r="Q32" s="51"/>
      <c r="S32" s="51"/>
      <c r="T32" s="51"/>
      <c r="U32" s="51"/>
      <c r="V32" s="51"/>
      <c r="W32" s="51"/>
      <c r="X32" s="51"/>
      <c r="Y32" s="51"/>
      <c r="Z32" s="51"/>
      <c r="AA32" s="51"/>
      <c r="AB32" s="51"/>
      <c r="AC32" s="51"/>
      <c r="AD32" s="51"/>
      <c r="AE32" s="51"/>
      <c r="AG32" s="51"/>
      <c r="AH32" s="51"/>
      <c r="AI32" s="51"/>
      <c r="AJ32" s="51"/>
      <c r="AK32" s="51"/>
      <c r="AL32" s="51"/>
      <c r="AM32" s="51"/>
      <c r="AN32" s="51"/>
      <c r="AO32" s="51"/>
      <c r="AP32" s="51"/>
      <c r="AQ32" s="51"/>
      <c r="AR32" s="51"/>
      <c r="AS32" s="51"/>
    </row>
    <row r="33" spans="4:45" x14ac:dyDescent="0.25">
      <c r="D33" s="20">
        <f t="shared" si="1"/>
        <v>21</v>
      </c>
      <c r="E33" s="51"/>
      <c r="F33" s="51"/>
      <c r="G33" s="51"/>
      <c r="H33" s="51"/>
      <c r="I33" s="51"/>
      <c r="J33" s="51"/>
      <c r="K33" s="51"/>
      <c r="L33" s="51"/>
      <c r="M33" s="85"/>
      <c r="N33" s="85"/>
      <c r="O33" s="51"/>
      <c r="P33" s="51"/>
      <c r="Q33" s="51"/>
      <c r="S33" s="51"/>
      <c r="T33" s="51"/>
      <c r="U33" s="51"/>
      <c r="V33" s="51"/>
      <c r="W33" s="51"/>
      <c r="X33" s="51"/>
      <c r="Y33" s="51"/>
      <c r="Z33" s="51"/>
      <c r="AA33" s="85"/>
      <c r="AB33" s="85"/>
      <c r="AC33" s="51"/>
      <c r="AD33" s="51"/>
      <c r="AE33" s="51"/>
      <c r="AG33" s="51"/>
      <c r="AH33" s="51"/>
      <c r="AI33" s="51"/>
      <c r="AJ33" s="51"/>
      <c r="AK33" s="51"/>
      <c r="AL33" s="51"/>
      <c r="AM33" s="51"/>
      <c r="AN33" s="51"/>
      <c r="AO33" s="85"/>
      <c r="AP33" s="85"/>
      <c r="AQ33" s="51"/>
      <c r="AR33" s="51"/>
      <c r="AS33" s="51"/>
    </row>
    <row r="34" spans="4:45" x14ac:dyDescent="0.25">
      <c r="D34" s="20">
        <f t="shared" si="1"/>
        <v>22</v>
      </c>
      <c r="E34" s="51"/>
      <c r="F34" s="51"/>
      <c r="G34" s="51"/>
      <c r="H34" s="51"/>
      <c r="I34" s="51"/>
      <c r="J34" s="51"/>
      <c r="K34" s="50"/>
      <c r="L34" s="51"/>
      <c r="M34" s="85"/>
      <c r="N34" s="85"/>
      <c r="O34" s="51"/>
      <c r="P34" s="51"/>
      <c r="Q34" s="51"/>
      <c r="S34" s="51"/>
      <c r="T34" s="51"/>
      <c r="U34" s="51"/>
      <c r="V34" s="51"/>
      <c r="W34" s="51"/>
      <c r="X34" s="51"/>
      <c r="Y34" s="50"/>
      <c r="Z34" s="51"/>
      <c r="AA34" s="85"/>
      <c r="AB34" s="85"/>
      <c r="AC34" s="51"/>
      <c r="AD34" s="51"/>
      <c r="AE34" s="51"/>
      <c r="AG34" s="51"/>
      <c r="AH34" s="51"/>
      <c r="AI34" s="51"/>
      <c r="AJ34" s="51"/>
      <c r="AK34" s="51"/>
      <c r="AL34" s="51"/>
      <c r="AM34" s="50"/>
      <c r="AN34" s="51"/>
      <c r="AO34" s="85"/>
      <c r="AP34" s="85"/>
      <c r="AQ34" s="51"/>
      <c r="AR34" s="51"/>
      <c r="AS34" s="51"/>
    </row>
    <row r="35" spans="4:45" x14ac:dyDescent="0.25">
      <c r="D35" s="20">
        <f t="shared" si="1"/>
        <v>23</v>
      </c>
      <c r="E35" s="103"/>
      <c r="F35" s="103"/>
      <c r="G35" s="51"/>
      <c r="H35" s="85"/>
      <c r="I35" s="85"/>
      <c r="J35" s="85"/>
      <c r="K35" s="85"/>
      <c r="L35" s="85"/>
      <c r="M35" s="51"/>
      <c r="N35" s="51"/>
      <c r="O35" s="51"/>
      <c r="P35" s="51"/>
      <c r="Q35" s="51"/>
      <c r="S35" s="103"/>
      <c r="T35" s="103"/>
      <c r="U35" s="51"/>
      <c r="V35" s="85"/>
      <c r="W35" s="85"/>
      <c r="X35" s="85"/>
      <c r="Y35" s="85"/>
      <c r="Z35" s="85"/>
      <c r="AA35" s="51"/>
      <c r="AB35" s="51"/>
      <c r="AC35" s="51"/>
      <c r="AD35" s="51"/>
      <c r="AE35" s="51"/>
      <c r="AG35" s="103"/>
      <c r="AH35" s="103"/>
      <c r="AI35" s="51"/>
      <c r="AJ35" s="85"/>
      <c r="AK35" s="85"/>
      <c r="AL35" s="85"/>
      <c r="AM35" s="85"/>
      <c r="AN35" s="85"/>
      <c r="AO35" s="51"/>
      <c r="AP35" s="51"/>
      <c r="AQ35" s="51"/>
      <c r="AR35" s="51"/>
      <c r="AS35" s="51"/>
    </row>
    <row r="36" spans="4:45" x14ac:dyDescent="0.25">
      <c r="D36" s="20">
        <f t="shared" si="1"/>
        <v>24</v>
      </c>
      <c r="E36" s="103"/>
      <c r="F36" s="103"/>
      <c r="G36" s="51"/>
      <c r="H36" s="85"/>
      <c r="I36" s="85"/>
      <c r="J36" s="85"/>
      <c r="K36" s="85"/>
      <c r="L36" s="85"/>
      <c r="M36" s="51"/>
      <c r="N36" s="51"/>
      <c r="O36" s="51"/>
      <c r="P36" s="51"/>
      <c r="Q36" s="51"/>
      <c r="S36" s="103"/>
      <c r="T36" s="103"/>
      <c r="U36" s="51"/>
      <c r="V36" s="85"/>
      <c r="W36" s="85"/>
      <c r="X36" s="85"/>
      <c r="Y36" s="85"/>
      <c r="Z36" s="85"/>
      <c r="AA36" s="51"/>
      <c r="AB36" s="51"/>
      <c r="AC36" s="51"/>
      <c r="AD36" s="51"/>
      <c r="AE36" s="51"/>
      <c r="AG36" s="103"/>
      <c r="AH36" s="103"/>
      <c r="AI36" s="51"/>
      <c r="AJ36" s="85"/>
      <c r="AK36" s="85"/>
      <c r="AL36" s="85"/>
      <c r="AM36" s="85"/>
      <c r="AN36" s="85"/>
      <c r="AO36" s="51"/>
      <c r="AP36" s="51"/>
      <c r="AQ36" s="51"/>
      <c r="AR36" s="51"/>
      <c r="AS36" s="51"/>
    </row>
    <row r="37" spans="4:45" x14ac:dyDescent="0.25">
      <c r="D37" s="20">
        <f t="shared" si="1"/>
        <v>25</v>
      </c>
      <c r="E37" s="103"/>
      <c r="F37" s="51"/>
      <c r="G37" s="51"/>
      <c r="H37" s="51"/>
      <c r="I37" s="51"/>
      <c r="J37" s="51"/>
      <c r="K37" s="51"/>
      <c r="L37" s="51"/>
      <c r="M37" s="51"/>
      <c r="N37" s="51"/>
      <c r="O37" s="51"/>
      <c r="P37" s="51"/>
      <c r="Q37" s="51"/>
      <c r="S37" s="103"/>
      <c r="T37" s="51"/>
      <c r="U37" s="51"/>
      <c r="V37" s="51"/>
      <c r="W37" s="51"/>
      <c r="X37" s="51"/>
      <c r="Y37" s="51"/>
      <c r="Z37" s="51"/>
      <c r="AA37" s="51"/>
      <c r="AB37" s="51"/>
      <c r="AC37" s="51"/>
      <c r="AD37" s="51"/>
      <c r="AE37" s="51"/>
      <c r="AG37" s="103"/>
      <c r="AH37" s="51"/>
      <c r="AI37" s="51"/>
      <c r="AJ37" s="51"/>
      <c r="AK37" s="51"/>
      <c r="AL37" s="51"/>
      <c r="AM37" s="51"/>
      <c r="AN37" s="51"/>
      <c r="AO37" s="51"/>
      <c r="AP37" s="51"/>
      <c r="AQ37" s="51"/>
      <c r="AR37" s="51"/>
      <c r="AS37" s="51"/>
    </row>
    <row r="38" spans="4:45" x14ac:dyDescent="0.25">
      <c r="D38" s="20">
        <f t="shared" si="1"/>
        <v>26</v>
      </c>
      <c r="E38" s="103"/>
      <c r="F38" s="51"/>
      <c r="G38" s="51"/>
      <c r="H38" s="51"/>
      <c r="I38" s="51"/>
      <c r="J38" s="51"/>
      <c r="K38" s="51"/>
      <c r="L38" s="51"/>
      <c r="M38" s="51"/>
      <c r="N38" s="51"/>
      <c r="O38" s="51"/>
      <c r="P38" s="51"/>
      <c r="Q38" s="51"/>
      <c r="S38" s="103"/>
      <c r="T38" s="51"/>
      <c r="U38" s="51"/>
      <c r="V38" s="51"/>
      <c r="W38" s="51"/>
      <c r="X38" s="51"/>
      <c r="Y38" s="51"/>
      <c r="Z38" s="51"/>
      <c r="AA38" s="51"/>
      <c r="AB38" s="51"/>
      <c r="AC38" s="51"/>
      <c r="AD38" s="51"/>
      <c r="AE38" s="51"/>
      <c r="AG38" s="103"/>
      <c r="AH38" s="51"/>
      <c r="AI38" s="51"/>
      <c r="AJ38" s="51"/>
      <c r="AK38" s="51"/>
      <c r="AL38" s="51"/>
      <c r="AM38" s="51"/>
      <c r="AN38" s="51"/>
      <c r="AO38" s="51"/>
      <c r="AP38" s="51"/>
      <c r="AQ38" s="51"/>
      <c r="AR38" s="51"/>
      <c r="AS38" s="51"/>
    </row>
    <row r="39" spans="4:45" x14ac:dyDescent="0.25">
      <c r="D39" s="20">
        <f t="shared" si="1"/>
        <v>27</v>
      </c>
      <c r="E39" s="103"/>
      <c r="F39" s="51"/>
      <c r="G39" s="82"/>
      <c r="H39" s="82"/>
      <c r="I39" s="82"/>
      <c r="J39" s="51"/>
      <c r="K39" s="51"/>
      <c r="L39" s="82"/>
      <c r="M39" s="51"/>
      <c r="N39" s="51"/>
      <c r="O39" s="51"/>
      <c r="P39" s="51"/>
      <c r="Q39" s="51"/>
      <c r="S39" s="103"/>
      <c r="T39" s="51"/>
      <c r="U39" s="82"/>
      <c r="V39" s="82"/>
      <c r="W39" s="82"/>
      <c r="X39" s="51"/>
      <c r="Y39" s="51"/>
      <c r="Z39" s="82"/>
      <c r="AA39" s="51"/>
      <c r="AB39" s="51"/>
      <c r="AC39" s="51"/>
      <c r="AD39" s="51"/>
      <c r="AE39" s="51"/>
      <c r="AG39" s="103"/>
      <c r="AH39" s="51"/>
      <c r="AI39" s="82"/>
      <c r="AJ39" s="82"/>
      <c r="AK39" s="82"/>
      <c r="AL39" s="51"/>
      <c r="AM39" s="51"/>
      <c r="AN39" s="82"/>
      <c r="AO39" s="51"/>
      <c r="AP39" s="51"/>
      <c r="AQ39" s="51"/>
      <c r="AR39" s="51"/>
      <c r="AS39" s="51"/>
    </row>
    <row r="40" spans="4:45" x14ac:dyDescent="0.25">
      <c r="D40" s="20">
        <f t="shared" si="1"/>
        <v>28</v>
      </c>
      <c r="E40" s="103"/>
      <c r="F40" s="51"/>
      <c r="G40" s="51"/>
      <c r="H40" s="51"/>
      <c r="I40" s="51"/>
      <c r="J40" s="51"/>
      <c r="K40" s="51"/>
      <c r="L40" s="51"/>
      <c r="M40" s="51"/>
      <c r="N40" s="51"/>
      <c r="O40" s="51"/>
      <c r="P40" s="51"/>
      <c r="Q40" s="51"/>
      <c r="S40" s="103"/>
      <c r="T40" s="51"/>
      <c r="U40" s="51"/>
      <c r="V40" s="51"/>
      <c r="W40" s="51"/>
      <c r="X40" s="51"/>
      <c r="Y40" s="51"/>
      <c r="Z40" s="51"/>
      <c r="AA40" s="51"/>
      <c r="AB40" s="51"/>
      <c r="AC40" s="51"/>
      <c r="AD40" s="51"/>
      <c r="AE40" s="51"/>
      <c r="AG40" s="103"/>
      <c r="AH40" s="51"/>
      <c r="AI40" s="51"/>
      <c r="AJ40" s="51"/>
      <c r="AK40" s="51"/>
      <c r="AL40" s="51"/>
      <c r="AM40" s="51"/>
      <c r="AN40" s="51"/>
      <c r="AO40" s="51"/>
      <c r="AP40" s="51"/>
      <c r="AQ40" s="51"/>
      <c r="AR40" s="51"/>
      <c r="AS40" s="51"/>
    </row>
    <row r="41" spans="4:45" x14ac:dyDescent="0.25">
      <c r="D41" s="20">
        <f t="shared" si="1"/>
        <v>29</v>
      </c>
      <c r="E41" s="51"/>
      <c r="F41" s="40"/>
      <c r="G41" s="51"/>
      <c r="H41" s="51"/>
      <c r="I41" s="51"/>
      <c r="J41" s="51"/>
      <c r="K41" s="51"/>
      <c r="L41" s="51"/>
      <c r="M41" s="51"/>
      <c r="N41" s="51"/>
      <c r="O41" s="51"/>
      <c r="P41" s="51"/>
      <c r="Q41" s="51"/>
      <c r="S41" s="51"/>
      <c r="T41" s="40"/>
      <c r="U41" s="51"/>
      <c r="V41" s="51"/>
      <c r="W41" s="51"/>
      <c r="X41" s="51"/>
      <c r="Y41" s="51"/>
      <c r="Z41" s="51"/>
      <c r="AA41" s="51"/>
      <c r="AB41" s="51"/>
      <c r="AC41" s="51"/>
      <c r="AD41" s="51"/>
      <c r="AE41" s="51"/>
      <c r="AG41" s="51"/>
      <c r="AH41" s="40"/>
      <c r="AI41" s="51"/>
      <c r="AJ41" s="51"/>
      <c r="AK41" s="51"/>
      <c r="AL41" s="51"/>
      <c r="AM41" s="51"/>
      <c r="AN41" s="51"/>
      <c r="AO41" s="51"/>
      <c r="AP41" s="51"/>
      <c r="AQ41" s="51"/>
      <c r="AR41" s="51"/>
      <c r="AS41" s="51"/>
    </row>
    <row r="42" spans="4:45" x14ac:dyDescent="0.25">
      <c r="D42" s="20">
        <f t="shared" si="1"/>
        <v>30</v>
      </c>
      <c r="E42" s="51"/>
      <c r="F42" s="250"/>
      <c r="G42" s="51"/>
      <c r="H42" s="51"/>
      <c r="I42" s="51"/>
      <c r="J42" s="51"/>
      <c r="K42" s="51"/>
      <c r="L42" s="51"/>
      <c r="M42" s="51"/>
      <c r="N42" s="51"/>
      <c r="O42" s="51"/>
      <c r="P42" s="51"/>
      <c r="Q42" s="51"/>
      <c r="S42" s="51"/>
      <c r="T42" s="250"/>
      <c r="U42" s="51"/>
      <c r="V42" s="51"/>
      <c r="W42" s="51"/>
      <c r="X42" s="51"/>
      <c r="Y42" s="51"/>
      <c r="Z42" s="51"/>
      <c r="AA42" s="51"/>
      <c r="AB42" s="51"/>
      <c r="AC42" s="51"/>
      <c r="AD42" s="51"/>
      <c r="AE42" s="51"/>
      <c r="AG42" s="51"/>
      <c r="AH42" s="250"/>
      <c r="AI42" s="51"/>
      <c r="AJ42" s="51"/>
      <c r="AK42" s="51"/>
      <c r="AL42" s="51"/>
      <c r="AM42" s="51"/>
      <c r="AN42" s="51"/>
      <c r="AO42" s="51"/>
      <c r="AP42" s="51"/>
      <c r="AQ42" s="51"/>
      <c r="AR42" s="51"/>
      <c r="AS42" s="51"/>
    </row>
    <row r="43" spans="4:45" x14ac:dyDescent="0.25">
      <c r="D43" s="20">
        <f t="shared" si="1"/>
        <v>31</v>
      </c>
      <c r="E43" s="31"/>
      <c r="F43" s="250"/>
      <c r="G43" s="31"/>
      <c r="H43" s="31"/>
      <c r="I43" s="31"/>
      <c r="J43" s="31"/>
      <c r="K43" s="31"/>
      <c r="L43" s="31"/>
      <c r="M43" s="31"/>
      <c r="N43" s="31"/>
      <c r="O43" s="31"/>
      <c r="P43" s="31"/>
      <c r="Q43" s="31"/>
      <c r="S43" s="31"/>
      <c r="T43" s="250"/>
      <c r="U43" s="31"/>
      <c r="V43" s="31"/>
      <c r="W43" s="31"/>
      <c r="X43" s="31"/>
      <c r="Y43" s="31"/>
      <c r="Z43" s="31"/>
      <c r="AA43" s="31"/>
      <c r="AB43" s="31"/>
      <c r="AC43" s="31"/>
      <c r="AD43" s="31"/>
      <c r="AE43" s="31"/>
      <c r="AG43" s="31"/>
      <c r="AH43" s="250"/>
      <c r="AI43" s="31"/>
      <c r="AJ43" s="31"/>
      <c r="AK43" s="31"/>
      <c r="AL43" s="31"/>
      <c r="AM43" s="31"/>
      <c r="AN43" s="31"/>
      <c r="AO43" s="31"/>
      <c r="AP43" s="31"/>
      <c r="AQ43" s="31"/>
      <c r="AR43" s="31"/>
      <c r="AS43" s="31"/>
    </row>
    <row r="44" spans="4:45" x14ac:dyDescent="0.25">
      <c r="D44" s="20">
        <f t="shared" si="1"/>
        <v>32</v>
      </c>
    </row>
    <row r="45" spans="4:45" x14ac:dyDescent="0.25">
      <c r="D45" s="20">
        <f t="shared" si="1"/>
        <v>33</v>
      </c>
    </row>
    <row r="46" spans="4:45" x14ac:dyDescent="0.25">
      <c r="D46" s="20">
        <f t="shared" si="1"/>
        <v>34</v>
      </c>
      <c r="E46" s="15"/>
      <c r="F46" s="31"/>
      <c r="G46" s="31"/>
      <c r="H46" s="31"/>
      <c r="I46" s="31"/>
      <c r="J46" s="31"/>
      <c r="K46" s="31"/>
      <c r="L46" s="31"/>
      <c r="M46" s="31"/>
      <c r="N46" s="31"/>
      <c r="O46" s="31"/>
      <c r="P46" s="31"/>
      <c r="Q46" s="31"/>
      <c r="S46" s="15"/>
      <c r="T46" s="31"/>
      <c r="U46" s="31"/>
      <c r="V46" s="31"/>
      <c r="W46" s="31"/>
      <c r="X46" s="31"/>
      <c r="Y46" s="31"/>
      <c r="Z46" s="31"/>
      <c r="AA46" s="31"/>
      <c r="AB46" s="31"/>
      <c r="AC46" s="31"/>
      <c r="AD46" s="31"/>
      <c r="AE46" s="31"/>
      <c r="AG46" s="15"/>
      <c r="AH46" s="31"/>
      <c r="AI46" s="31"/>
      <c r="AJ46" s="31"/>
      <c r="AK46" s="31"/>
      <c r="AL46" s="31"/>
      <c r="AM46" s="31"/>
      <c r="AN46" s="31"/>
      <c r="AO46" s="31"/>
      <c r="AP46" s="31"/>
      <c r="AQ46" s="31"/>
      <c r="AR46" s="31"/>
      <c r="AS46" s="31"/>
    </row>
    <row r="47" spans="4:45" x14ac:dyDescent="0.25">
      <c r="D47" s="20">
        <f t="shared" si="1"/>
        <v>35</v>
      </c>
      <c r="E47" s="204"/>
      <c r="F47" s="31"/>
      <c r="G47" s="31"/>
      <c r="H47" s="31"/>
      <c r="I47" s="31"/>
      <c r="J47" s="31"/>
      <c r="K47" s="31"/>
      <c r="L47" s="31"/>
      <c r="M47" s="31"/>
      <c r="N47" s="31"/>
      <c r="O47" s="31"/>
      <c r="P47" s="31"/>
      <c r="Q47" s="31"/>
      <c r="S47" s="204"/>
      <c r="T47" s="31"/>
      <c r="U47" s="31"/>
      <c r="V47" s="31"/>
      <c r="W47" s="31"/>
      <c r="X47" s="31"/>
      <c r="Y47" s="31"/>
      <c r="Z47" s="31"/>
      <c r="AA47" s="31"/>
      <c r="AB47" s="31"/>
      <c r="AC47" s="31"/>
      <c r="AD47" s="31"/>
      <c r="AE47" s="31"/>
      <c r="AG47" s="204"/>
      <c r="AH47" s="31"/>
      <c r="AI47" s="31"/>
      <c r="AJ47" s="31"/>
      <c r="AK47" s="31"/>
      <c r="AL47" s="31"/>
      <c r="AM47" s="31"/>
      <c r="AN47" s="31"/>
      <c r="AO47" s="31"/>
      <c r="AP47" s="31"/>
      <c r="AQ47" s="31"/>
      <c r="AR47" s="31"/>
      <c r="AS47" s="31"/>
    </row>
    <row r="48" spans="4:45" x14ac:dyDescent="0.25">
      <c r="D48" s="20">
        <f t="shared" si="1"/>
        <v>36</v>
      </c>
      <c r="E48" s="345" t="s">
        <v>125</v>
      </c>
      <c r="F48" s="345"/>
      <c r="G48" s="345"/>
      <c r="H48" s="345"/>
      <c r="I48" s="345"/>
      <c r="J48" s="345"/>
      <c r="K48" s="345"/>
      <c r="L48" s="345"/>
      <c r="M48" s="345"/>
      <c r="N48" s="345"/>
      <c r="O48" s="31"/>
      <c r="P48" s="31"/>
      <c r="Q48" s="31"/>
      <c r="S48" s="345" t="s">
        <v>125</v>
      </c>
      <c r="T48" s="345"/>
      <c r="U48" s="345"/>
      <c r="V48" s="345"/>
      <c r="W48" s="345"/>
      <c r="X48" s="345"/>
      <c r="Y48" s="345"/>
      <c r="Z48" s="345"/>
      <c r="AA48" s="345"/>
      <c r="AB48" s="345"/>
      <c r="AC48" s="31"/>
      <c r="AD48" s="31"/>
      <c r="AE48" s="31"/>
      <c r="AG48" s="345" t="s">
        <v>125</v>
      </c>
      <c r="AH48" s="345"/>
      <c r="AI48" s="345"/>
      <c r="AJ48" s="345"/>
      <c r="AK48" s="345"/>
      <c r="AL48" s="345"/>
      <c r="AM48" s="345"/>
      <c r="AN48" s="345"/>
      <c r="AO48" s="345"/>
      <c r="AP48" s="345"/>
      <c r="AQ48" s="31"/>
      <c r="AR48" s="31"/>
      <c r="AS48" s="31"/>
    </row>
    <row r="49" spans="1:45" x14ac:dyDescent="0.25">
      <c r="D49" s="20">
        <f t="shared" si="1"/>
        <v>37</v>
      </c>
      <c r="E49" s="32" t="s">
        <v>126</v>
      </c>
      <c r="F49" s="52"/>
      <c r="G49" s="52"/>
      <c r="H49" s="52"/>
      <c r="I49" s="52"/>
      <c r="J49" s="52"/>
      <c r="K49" s="52"/>
      <c r="L49" s="52"/>
      <c r="M49" s="156"/>
      <c r="N49" s="156"/>
      <c r="O49" s="31"/>
      <c r="P49" s="31"/>
      <c r="Q49" s="31"/>
      <c r="S49" s="32" t="s">
        <v>126</v>
      </c>
      <c r="T49" s="52"/>
      <c r="U49" s="52"/>
      <c r="V49" s="52"/>
      <c r="W49" s="52"/>
      <c r="X49" s="52"/>
      <c r="Y49" s="52"/>
      <c r="Z49" s="52"/>
      <c r="AA49" s="156"/>
      <c r="AB49" s="156"/>
      <c r="AC49" s="31"/>
      <c r="AD49" s="31"/>
      <c r="AE49" s="31"/>
      <c r="AG49" s="32" t="s">
        <v>126</v>
      </c>
      <c r="AH49" s="52"/>
      <c r="AI49" s="52"/>
      <c r="AJ49" s="52"/>
      <c r="AK49" s="52"/>
      <c r="AL49" s="52"/>
      <c r="AM49" s="52"/>
      <c r="AN49" s="52"/>
      <c r="AO49" s="156"/>
      <c r="AP49" s="156"/>
      <c r="AQ49" s="31"/>
      <c r="AR49" s="31"/>
      <c r="AS49" s="31"/>
    </row>
    <row r="50" spans="1:45" x14ac:dyDescent="0.25">
      <c r="D50" s="20">
        <f t="shared" si="1"/>
        <v>38</v>
      </c>
      <c r="E50" s="81" t="s">
        <v>92</v>
      </c>
      <c r="F50" s="52"/>
      <c r="G50" s="52"/>
      <c r="H50" s="52"/>
      <c r="I50" s="52"/>
      <c r="J50" s="52"/>
      <c r="K50" s="52"/>
      <c r="L50" s="52"/>
      <c r="M50" s="240" t="s">
        <v>17</v>
      </c>
      <c r="N50" s="354" t="s">
        <v>20</v>
      </c>
      <c r="O50" s="354"/>
      <c r="P50" s="354"/>
      <c r="Q50" s="355"/>
      <c r="S50" s="81" t="s">
        <v>92</v>
      </c>
      <c r="T50" s="52"/>
      <c r="U50" s="52"/>
      <c r="V50" s="52"/>
      <c r="W50" s="52"/>
      <c r="X50" s="52"/>
      <c r="Y50" s="52"/>
      <c r="Z50" s="52"/>
      <c r="AA50" s="240" t="s">
        <v>17</v>
      </c>
      <c r="AB50" s="354" t="s">
        <v>19</v>
      </c>
      <c r="AC50" s="354"/>
      <c r="AD50" s="354"/>
      <c r="AE50" s="355"/>
      <c r="AG50" s="81" t="s">
        <v>92</v>
      </c>
      <c r="AH50" s="52"/>
      <c r="AI50" s="52"/>
      <c r="AJ50" s="52"/>
      <c r="AK50" s="52"/>
      <c r="AL50" s="52"/>
      <c r="AM50" s="52"/>
      <c r="AN50" s="52"/>
      <c r="AO50" s="240" t="s">
        <v>17</v>
      </c>
      <c r="AP50" s="354" t="s">
        <v>18</v>
      </c>
      <c r="AQ50" s="354"/>
      <c r="AR50" s="354"/>
      <c r="AS50" s="355"/>
    </row>
    <row r="51" spans="1:45" x14ac:dyDescent="0.25">
      <c r="D51" s="20">
        <f t="shared" si="1"/>
        <v>39</v>
      </c>
      <c r="E51" s="31"/>
      <c r="F51" s="53"/>
      <c r="G51" s="53"/>
      <c r="H51" s="53"/>
      <c r="I51" s="53"/>
      <c r="J51" s="31"/>
      <c r="K51" s="31"/>
      <c r="L51" s="31"/>
      <c r="M51" s="240" t="s">
        <v>82</v>
      </c>
      <c r="N51" s="354" t="s">
        <v>80</v>
      </c>
      <c r="O51" s="354"/>
      <c r="P51" s="354"/>
      <c r="Q51" s="355"/>
      <c r="S51" s="31"/>
      <c r="T51" s="53"/>
      <c r="U51" s="53"/>
      <c r="V51" s="53"/>
      <c r="W51" s="53"/>
      <c r="X51" s="31"/>
      <c r="Y51" s="31"/>
      <c r="Z51" s="31"/>
      <c r="AA51" s="240" t="s">
        <v>82</v>
      </c>
      <c r="AB51" s="354" t="s">
        <v>80</v>
      </c>
      <c r="AC51" s="354"/>
      <c r="AD51" s="354"/>
      <c r="AE51" s="355"/>
      <c r="AG51" s="31"/>
      <c r="AH51" s="53"/>
      <c r="AI51" s="53"/>
      <c r="AJ51" s="53"/>
      <c r="AK51" s="53"/>
      <c r="AL51" s="31"/>
      <c r="AM51" s="31"/>
      <c r="AN51" s="31"/>
      <c r="AO51" s="240" t="s">
        <v>82</v>
      </c>
      <c r="AP51" s="354" t="s">
        <v>80</v>
      </c>
      <c r="AQ51" s="354"/>
      <c r="AR51" s="354"/>
      <c r="AS51" s="355"/>
    </row>
    <row r="52" spans="1:45" x14ac:dyDescent="0.25">
      <c r="D52" s="20">
        <f t="shared" si="1"/>
        <v>40</v>
      </c>
      <c r="E52" s="31"/>
      <c r="F52" s="53"/>
      <c r="G52" s="53"/>
      <c r="H52" s="20"/>
      <c r="I52" s="241"/>
      <c r="J52" s="189"/>
      <c r="K52" s="20"/>
      <c r="L52" s="20"/>
      <c r="M52" s="20"/>
      <c r="N52" s="20"/>
      <c r="O52" s="20"/>
      <c r="P52" s="20"/>
      <c r="Q52" s="20"/>
      <c r="S52" s="31"/>
      <c r="T52" s="53"/>
      <c r="U52" s="53"/>
      <c r="V52" s="20"/>
      <c r="W52" s="241"/>
      <c r="X52" s="189"/>
      <c r="Y52" s="20"/>
      <c r="Z52" s="20"/>
      <c r="AA52" s="20"/>
      <c r="AB52" s="20"/>
      <c r="AC52" s="20"/>
      <c r="AD52" s="20"/>
      <c r="AE52" s="20"/>
      <c r="AG52" s="31"/>
      <c r="AH52" s="53"/>
      <c r="AI52" s="53"/>
      <c r="AJ52" s="20"/>
      <c r="AK52" s="53"/>
      <c r="AL52" s="31"/>
      <c r="AM52" s="20"/>
      <c r="AN52" s="31"/>
      <c r="AO52" s="31"/>
      <c r="AP52" s="20"/>
      <c r="AQ52" s="31"/>
      <c r="AR52" s="31"/>
      <c r="AS52" s="20"/>
    </row>
    <row r="53" spans="1:45" x14ac:dyDescent="0.25">
      <c r="D53" s="20">
        <f t="shared" si="1"/>
        <v>41</v>
      </c>
      <c r="E53" s="54"/>
      <c r="F53" s="55"/>
      <c r="G53" s="55"/>
      <c r="H53" s="20"/>
      <c r="I53" s="206"/>
      <c r="J53" s="251"/>
      <c r="K53" s="20"/>
      <c r="L53" s="189"/>
      <c r="M53" s="189"/>
      <c r="N53" s="20"/>
      <c r="O53" s="189"/>
      <c r="P53" s="189"/>
      <c r="Q53" s="20"/>
      <c r="S53" s="54"/>
      <c r="T53" s="55"/>
      <c r="U53" s="55"/>
      <c r="V53" s="20"/>
      <c r="W53" s="206"/>
      <c r="X53" s="251"/>
      <c r="Y53" s="20"/>
      <c r="Z53" s="189"/>
      <c r="AA53" s="189"/>
      <c r="AB53" s="20"/>
      <c r="AC53" s="189"/>
      <c r="AD53" s="189"/>
      <c r="AE53" s="20"/>
      <c r="AG53" s="54"/>
      <c r="AH53" s="55"/>
      <c r="AI53" s="55"/>
      <c r="AJ53" s="20"/>
      <c r="AK53" s="206"/>
      <c r="AL53" s="251"/>
      <c r="AM53" s="20"/>
      <c r="AN53" s="189"/>
      <c r="AO53" s="189"/>
      <c r="AP53" s="20"/>
      <c r="AQ53" s="189"/>
      <c r="AR53" s="189"/>
      <c r="AS53" s="20"/>
    </row>
    <row r="54" spans="1:45" x14ac:dyDescent="0.25">
      <c r="D54" s="20">
        <f t="shared" si="1"/>
        <v>42</v>
      </c>
      <c r="E54" s="116"/>
      <c r="F54" s="117"/>
      <c r="G54" s="346" t="s">
        <v>111</v>
      </c>
      <c r="H54" s="348"/>
      <c r="I54" s="117"/>
      <c r="J54" s="346" t="s">
        <v>112</v>
      </c>
      <c r="K54" s="348"/>
      <c r="L54" s="117"/>
      <c r="M54" s="346" t="s">
        <v>113</v>
      </c>
      <c r="N54" s="348"/>
      <c r="O54" s="117"/>
      <c r="P54" s="346" t="s">
        <v>20</v>
      </c>
      <c r="Q54" s="348"/>
      <c r="S54" s="116"/>
      <c r="T54" s="117"/>
      <c r="U54" s="346" t="s">
        <v>111</v>
      </c>
      <c r="V54" s="348"/>
      <c r="W54" s="117"/>
      <c r="X54" s="346" t="s">
        <v>112</v>
      </c>
      <c r="Y54" s="348"/>
      <c r="Z54" s="117"/>
      <c r="AA54" s="346" t="s">
        <v>113</v>
      </c>
      <c r="AB54" s="348"/>
      <c r="AC54" s="117"/>
      <c r="AD54" s="346" t="s">
        <v>20</v>
      </c>
      <c r="AE54" s="348"/>
      <c r="AG54" s="116"/>
      <c r="AH54" s="117"/>
      <c r="AI54" s="346" t="s">
        <v>111</v>
      </c>
      <c r="AJ54" s="348"/>
      <c r="AK54" s="117"/>
      <c r="AL54" s="346" t="s">
        <v>112</v>
      </c>
      <c r="AM54" s="348"/>
      <c r="AN54" s="117"/>
      <c r="AO54" s="346" t="s">
        <v>113</v>
      </c>
      <c r="AP54" s="348"/>
      <c r="AQ54" s="117"/>
      <c r="AR54" s="346" t="s">
        <v>20</v>
      </c>
      <c r="AS54" s="348"/>
    </row>
    <row r="55" spans="1:45" x14ac:dyDescent="0.25">
      <c r="D55" s="20">
        <f t="shared" si="1"/>
        <v>43</v>
      </c>
      <c r="E55" s="26"/>
      <c r="F55" s="58"/>
      <c r="G55" s="184" t="s">
        <v>98</v>
      </c>
      <c r="H55" s="183" t="s">
        <v>99</v>
      </c>
      <c r="I55" s="118"/>
      <c r="J55" s="184" t="s">
        <v>98</v>
      </c>
      <c r="K55" s="183" t="s">
        <v>99</v>
      </c>
      <c r="L55" s="118"/>
      <c r="M55" s="184" t="s">
        <v>98</v>
      </c>
      <c r="N55" s="183" t="s">
        <v>99</v>
      </c>
      <c r="O55" s="118"/>
      <c r="P55" s="184" t="s">
        <v>98</v>
      </c>
      <c r="Q55" s="183" t="s">
        <v>99</v>
      </c>
      <c r="S55" s="26"/>
      <c r="T55" s="58"/>
      <c r="U55" s="184" t="s">
        <v>98</v>
      </c>
      <c r="V55" s="183" t="s">
        <v>99</v>
      </c>
      <c r="W55" s="118"/>
      <c r="X55" s="184" t="s">
        <v>98</v>
      </c>
      <c r="Y55" s="183" t="s">
        <v>99</v>
      </c>
      <c r="Z55" s="118"/>
      <c r="AA55" s="184" t="s">
        <v>98</v>
      </c>
      <c r="AB55" s="183" t="s">
        <v>99</v>
      </c>
      <c r="AC55" s="118"/>
      <c r="AD55" s="184" t="s">
        <v>98</v>
      </c>
      <c r="AE55" s="183" t="s">
        <v>99</v>
      </c>
      <c r="AG55" s="26"/>
      <c r="AH55" s="58"/>
      <c r="AI55" s="184" t="s">
        <v>98</v>
      </c>
      <c r="AJ55" s="183" t="s">
        <v>99</v>
      </c>
      <c r="AK55" s="118"/>
      <c r="AL55" s="184" t="s">
        <v>98</v>
      </c>
      <c r="AM55" s="183" t="s">
        <v>99</v>
      </c>
      <c r="AN55" s="118"/>
      <c r="AO55" s="184" t="s">
        <v>98</v>
      </c>
      <c r="AP55" s="183" t="s">
        <v>99</v>
      </c>
      <c r="AQ55" s="118"/>
      <c r="AR55" s="184" t="s">
        <v>98</v>
      </c>
      <c r="AS55" s="183" t="s">
        <v>99</v>
      </c>
    </row>
    <row r="56" spans="1:45" x14ac:dyDescent="0.25">
      <c r="D56" s="20">
        <f t="shared" si="1"/>
        <v>44</v>
      </c>
      <c r="E56" s="37"/>
      <c r="F56" s="55"/>
      <c r="G56" s="158"/>
      <c r="H56" s="157"/>
      <c r="I56" s="55"/>
      <c r="J56" s="158"/>
      <c r="K56" s="157"/>
      <c r="L56" s="55"/>
      <c r="M56" s="158"/>
      <c r="N56" s="157"/>
      <c r="O56" s="55"/>
      <c r="P56" s="158"/>
      <c r="Q56" s="157"/>
      <c r="S56" s="37"/>
      <c r="T56" s="55"/>
      <c r="U56" s="158"/>
      <c r="V56" s="157"/>
      <c r="W56" s="55"/>
      <c r="X56" s="158"/>
      <c r="Y56" s="157"/>
      <c r="Z56" s="55"/>
      <c r="AA56" s="158"/>
      <c r="AB56" s="157"/>
      <c r="AC56" s="55"/>
      <c r="AD56" s="158"/>
      <c r="AE56" s="157"/>
      <c r="AG56" s="37"/>
      <c r="AH56" s="55"/>
      <c r="AI56" s="158"/>
      <c r="AJ56" s="157"/>
      <c r="AK56" s="55"/>
      <c r="AL56" s="158"/>
      <c r="AM56" s="157"/>
      <c r="AN56" s="55"/>
      <c r="AO56" s="158"/>
      <c r="AP56" s="157"/>
      <c r="AQ56" s="55"/>
      <c r="AR56" s="158"/>
      <c r="AS56" s="157"/>
    </row>
    <row r="57" spans="1:45" x14ac:dyDescent="0.25">
      <c r="D57" s="20">
        <f t="shared" si="1"/>
        <v>45</v>
      </c>
      <c r="E57" s="37" t="s">
        <v>21</v>
      </c>
      <c r="F57" s="55"/>
      <c r="G57" s="158"/>
      <c r="H57" s="157"/>
      <c r="I57" s="55"/>
      <c r="J57" s="158"/>
      <c r="K57" s="157"/>
      <c r="L57" s="55"/>
      <c r="M57" s="158"/>
      <c r="N57" s="157"/>
      <c r="O57" s="55"/>
      <c r="P57" s="158"/>
      <c r="Q57" s="157"/>
      <c r="S57" s="37" t="s">
        <v>21</v>
      </c>
      <c r="T57" s="55"/>
      <c r="U57" s="158"/>
      <c r="V57" s="157"/>
      <c r="W57" s="55"/>
      <c r="X57" s="158"/>
      <c r="Y57" s="157"/>
      <c r="Z57" s="55"/>
      <c r="AA57" s="158"/>
      <c r="AB57" s="157"/>
      <c r="AC57" s="55"/>
      <c r="AD57" s="158"/>
      <c r="AE57" s="157"/>
      <c r="AG57" s="37" t="s">
        <v>21</v>
      </c>
      <c r="AH57" s="55"/>
      <c r="AI57" s="158"/>
      <c r="AJ57" s="157"/>
      <c r="AK57" s="55"/>
      <c r="AL57" s="158"/>
      <c r="AM57" s="157"/>
      <c r="AN57" s="55"/>
      <c r="AO57" s="158"/>
      <c r="AP57" s="157"/>
      <c r="AQ57" s="55"/>
      <c r="AR57" s="158"/>
      <c r="AS57" s="157"/>
    </row>
    <row r="58" spans="1:45" x14ac:dyDescent="0.25">
      <c r="A58" s="14" t="s">
        <v>80</v>
      </c>
      <c r="B58" s="20">
        <v>2</v>
      </c>
      <c r="C58" s="20"/>
      <c r="D58" s="20">
        <f t="shared" si="1"/>
        <v>46</v>
      </c>
      <c r="E58" s="66" t="s">
        <v>127</v>
      </c>
      <c r="F58" s="55"/>
      <c r="G58" s="63">
        <v>850</v>
      </c>
      <c r="H58" s="242">
        <v>1160</v>
      </c>
      <c r="I58" s="63"/>
      <c r="J58" s="63">
        <v>170</v>
      </c>
      <c r="K58" s="242">
        <v>260</v>
      </c>
      <c r="L58" s="63"/>
      <c r="M58" s="63">
        <v>130</v>
      </c>
      <c r="N58" s="242">
        <v>130</v>
      </c>
      <c r="O58" s="63"/>
      <c r="P58" s="63">
        <v>1150</v>
      </c>
      <c r="Q58" s="242">
        <v>1540</v>
      </c>
      <c r="S58" s="66" t="s">
        <v>127</v>
      </c>
      <c r="T58" s="55"/>
      <c r="U58" s="63">
        <v>440</v>
      </c>
      <c r="V58" s="242">
        <v>590</v>
      </c>
      <c r="W58" s="63"/>
      <c r="X58" s="63">
        <v>80</v>
      </c>
      <c r="Y58" s="242">
        <v>120</v>
      </c>
      <c r="Z58" s="63"/>
      <c r="AA58" s="63">
        <v>60</v>
      </c>
      <c r="AB58" s="242">
        <v>60</v>
      </c>
      <c r="AC58" s="63"/>
      <c r="AD58" s="63">
        <v>590</v>
      </c>
      <c r="AE58" s="242">
        <v>770</v>
      </c>
      <c r="AG58" s="66" t="s">
        <v>127</v>
      </c>
      <c r="AH58" s="55"/>
      <c r="AI58" s="63">
        <v>410</v>
      </c>
      <c r="AJ58" s="242">
        <v>570</v>
      </c>
      <c r="AK58" s="63"/>
      <c r="AL58" s="63">
        <v>90</v>
      </c>
      <c r="AM58" s="242">
        <v>130</v>
      </c>
      <c r="AN58" s="63"/>
      <c r="AO58" s="63">
        <v>60</v>
      </c>
      <c r="AP58" s="242">
        <v>70</v>
      </c>
      <c r="AQ58" s="63"/>
      <c r="AR58" s="63">
        <v>560</v>
      </c>
      <c r="AS58" s="242">
        <v>770</v>
      </c>
    </row>
    <row r="59" spans="1:45" x14ac:dyDescent="0.25">
      <c r="C59" s="20"/>
      <c r="D59" s="20">
        <f t="shared" si="1"/>
        <v>47</v>
      </c>
      <c r="E59" s="66"/>
      <c r="F59" s="55"/>
      <c r="G59" s="68"/>
      <c r="H59" s="243"/>
      <c r="I59" s="68"/>
      <c r="J59" s="68"/>
      <c r="K59" s="243"/>
      <c r="L59" s="68"/>
      <c r="M59" s="68"/>
      <c r="N59" s="243"/>
      <c r="O59" s="68"/>
      <c r="P59" s="68"/>
      <c r="Q59" s="243"/>
      <c r="S59" s="66"/>
      <c r="T59" s="55"/>
      <c r="U59" s="68"/>
      <c r="V59" s="243"/>
      <c r="W59" s="68"/>
      <c r="X59" s="68"/>
      <c r="Y59" s="243"/>
      <c r="Z59" s="68"/>
      <c r="AA59" s="68"/>
      <c r="AB59" s="243"/>
      <c r="AC59" s="68"/>
      <c r="AD59" s="68"/>
      <c r="AE59" s="243"/>
      <c r="AG59" s="66"/>
      <c r="AH59" s="55"/>
      <c r="AI59" s="68"/>
      <c r="AJ59" s="243"/>
      <c r="AK59" s="68"/>
      <c r="AL59" s="68"/>
      <c r="AM59" s="243"/>
      <c r="AN59" s="68"/>
      <c r="AO59" s="68"/>
      <c r="AP59" s="243"/>
      <c r="AQ59" s="68"/>
      <c r="AR59" s="68"/>
      <c r="AS59" s="243"/>
    </row>
    <row r="60" spans="1:45" x14ac:dyDescent="0.25">
      <c r="C60" s="20"/>
      <c r="D60" s="20">
        <f t="shared" si="1"/>
        <v>48</v>
      </c>
      <c r="E60" s="67" t="s">
        <v>45</v>
      </c>
      <c r="F60" s="55"/>
      <c r="G60" s="63">
        <v>400</v>
      </c>
      <c r="H60" s="242">
        <v>570</v>
      </c>
      <c r="I60" s="63"/>
      <c r="J60" s="63">
        <v>90</v>
      </c>
      <c r="K60" s="242">
        <v>160</v>
      </c>
      <c r="L60" s="63"/>
      <c r="M60" s="63">
        <v>70</v>
      </c>
      <c r="N60" s="242">
        <v>80</v>
      </c>
      <c r="O60" s="63"/>
      <c r="P60" s="63">
        <v>560</v>
      </c>
      <c r="Q60" s="242">
        <v>800</v>
      </c>
      <c r="S60" s="67" t="s">
        <v>45</v>
      </c>
      <c r="T60" s="55"/>
      <c r="U60" s="63">
        <v>170</v>
      </c>
      <c r="V60" s="242">
        <v>250</v>
      </c>
      <c r="W60" s="63"/>
      <c r="X60" s="63">
        <v>40</v>
      </c>
      <c r="Y60" s="242">
        <v>70</v>
      </c>
      <c r="Z60" s="63"/>
      <c r="AA60" s="63">
        <v>30</v>
      </c>
      <c r="AB60" s="242">
        <v>30</v>
      </c>
      <c r="AC60" s="63"/>
      <c r="AD60" s="63">
        <v>240</v>
      </c>
      <c r="AE60" s="242">
        <v>340</v>
      </c>
      <c r="AG60" s="67" t="s">
        <v>45</v>
      </c>
      <c r="AH60" s="55"/>
      <c r="AI60" s="63">
        <v>220</v>
      </c>
      <c r="AJ60" s="242">
        <v>320</v>
      </c>
      <c r="AK60" s="63"/>
      <c r="AL60" s="63">
        <v>60</v>
      </c>
      <c r="AM60" s="242">
        <v>90</v>
      </c>
      <c r="AN60" s="63"/>
      <c r="AO60" s="63">
        <v>40</v>
      </c>
      <c r="AP60" s="242">
        <v>50</v>
      </c>
      <c r="AQ60" s="63"/>
      <c r="AR60" s="63">
        <v>320</v>
      </c>
      <c r="AS60" s="242">
        <v>460</v>
      </c>
    </row>
    <row r="61" spans="1:45" x14ac:dyDescent="0.25">
      <c r="C61" s="20"/>
      <c r="D61" s="20">
        <f t="shared" si="1"/>
        <v>49</v>
      </c>
      <c r="E61" s="67"/>
      <c r="F61" s="55"/>
      <c r="G61" s="70"/>
      <c r="H61" s="244"/>
      <c r="I61" s="70"/>
      <c r="J61" s="70"/>
      <c r="K61" s="244"/>
      <c r="L61" s="70"/>
      <c r="M61" s="70"/>
      <c r="N61" s="244"/>
      <c r="O61" s="70"/>
      <c r="P61" s="70"/>
      <c r="Q61" s="244"/>
      <c r="S61" s="67"/>
      <c r="T61" s="55"/>
      <c r="U61" s="70"/>
      <c r="V61" s="244"/>
      <c r="W61" s="70"/>
      <c r="X61" s="70"/>
      <c r="Y61" s="244"/>
      <c r="Z61" s="70"/>
      <c r="AA61" s="70"/>
      <c r="AB61" s="244"/>
      <c r="AC61" s="70"/>
      <c r="AD61" s="70"/>
      <c r="AE61" s="244"/>
      <c r="AG61" s="67"/>
      <c r="AH61" s="55"/>
      <c r="AI61" s="70"/>
      <c r="AJ61" s="244"/>
      <c r="AK61" s="70"/>
      <c r="AL61" s="70"/>
      <c r="AM61" s="244"/>
      <c r="AN61" s="70"/>
      <c r="AO61" s="70"/>
      <c r="AP61" s="244"/>
      <c r="AQ61" s="70"/>
      <c r="AR61" s="70"/>
      <c r="AS61" s="244"/>
    </row>
    <row r="62" spans="1:45" x14ac:dyDescent="0.25">
      <c r="C62" s="20"/>
      <c r="D62" s="20">
        <f t="shared" si="1"/>
        <v>50</v>
      </c>
      <c r="E62" s="67" t="s">
        <v>75</v>
      </c>
      <c r="F62" s="55"/>
      <c r="G62" s="63">
        <v>450</v>
      </c>
      <c r="H62" s="242">
        <v>590</v>
      </c>
      <c r="I62" s="63"/>
      <c r="J62" s="63">
        <v>80</v>
      </c>
      <c r="K62" s="242">
        <v>100</v>
      </c>
      <c r="L62" s="63"/>
      <c r="M62" s="63">
        <v>60</v>
      </c>
      <c r="N62" s="242">
        <v>50</v>
      </c>
      <c r="O62" s="63"/>
      <c r="P62" s="63">
        <v>590</v>
      </c>
      <c r="Q62" s="242">
        <v>740</v>
      </c>
      <c r="S62" s="67" t="s">
        <v>75</v>
      </c>
      <c r="T62" s="55"/>
      <c r="U62" s="63">
        <v>270</v>
      </c>
      <c r="V62" s="242">
        <v>340</v>
      </c>
      <c r="W62" s="63"/>
      <c r="X62" s="63">
        <v>50</v>
      </c>
      <c r="Y62" s="242">
        <v>60</v>
      </c>
      <c r="Z62" s="63"/>
      <c r="AA62" s="63">
        <v>30</v>
      </c>
      <c r="AB62" s="242">
        <v>30</v>
      </c>
      <c r="AC62" s="63"/>
      <c r="AD62" s="63">
        <v>350</v>
      </c>
      <c r="AE62" s="242">
        <v>430</v>
      </c>
      <c r="AG62" s="67" t="s">
        <v>75</v>
      </c>
      <c r="AH62" s="55"/>
      <c r="AI62" s="63">
        <v>190</v>
      </c>
      <c r="AJ62" s="242">
        <v>250</v>
      </c>
      <c r="AK62" s="63"/>
      <c r="AL62" s="63">
        <v>30</v>
      </c>
      <c r="AM62" s="242">
        <v>50</v>
      </c>
      <c r="AN62" s="63"/>
      <c r="AO62" s="63">
        <v>20</v>
      </c>
      <c r="AP62" s="242">
        <v>20</v>
      </c>
      <c r="AQ62" s="63"/>
      <c r="AR62" s="63">
        <v>240</v>
      </c>
      <c r="AS62" s="242">
        <v>310</v>
      </c>
    </row>
    <row r="63" spans="1:45" x14ac:dyDescent="0.25">
      <c r="C63" s="20"/>
      <c r="D63" s="20">
        <f t="shared" si="1"/>
        <v>51</v>
      </c>
      <c r="E63" s="67" t="s">
        <v>128</v>
      </c>
      <c r="F63" s="31"/>
      <c r="G63" s="63">
        <v>220</v>
      </c>
      <c r="H63" s="242">
        <v>280</v>
      </c>
      <c r="I63" s="63"/>
      <c r="J63" s="63">
        <v>30</v>
      </c>
      <c r="K63" s="242">
        <v>50</v>
      </c>
      <c r="L63" s="63"/>
      <c r="M63" s="63">
        <v>20</v>
      </c>
      <c r="N63" s="242">
        <v>30</v>
      </c>
      <c r="O63" s="63"/>
      <c r="P63" s="63">
        <v>270</v>
      </c>
      <c r="Q63" s="242">
        <v>360</v>
      </c>
      <c r="S63" s="67" t="s">
        <v>128</v>
      </c>
      <c r="T63" s="31"/>
      <c r="U63" s="63">
        <v>140</v>
      </c>
      <c r="V63" s="242">
        <v>170</v>
      </c>
      <c r="W63" s="63"/>
      <c r="X63" s="63">
        <v>20</v>
      </c>
      <c r="Y63" s="242">
        <v>30</v>
      </c>
      <c r="Z63" s="63"/>
      <c r="AA63" s="63">
        <v>10</v>
      </c>
      <c r="AB63" s="242">
        <v>20</v>
      </c>
      <c r="AC63" s="63"/>
      <c r="AD63" s="63">
        <v>180</v>
      </c>
      <c r="AE63" s="242">
        <v>220</v>
      </c>
      <c r="AG63" s="67" t="s">
        <v>128</v>
      </c>
      <c r="AH63" s="31"/>
      <c r="AI63" s="63">
        <v>70</v>
      </c>
      <c r="AJ63" s="242">
        <v>110</v>
      </c>
      <c r="AK63" s="63"/>
      <c r="AL63" s="63">
        <v>10</v>
      </c>
      <c r="AM63" s="242">
        <v>10</v>
      </c>
      <c r="AN63" s="63"/>
      <c r="AO63" s="63">
        <v>10</v>
      </c>
      <c r="AP63" s="242">
        <v>10</v>
      </c>
      <c r="AQ63" s="63"/>
      <c r="AR63" s="63">
        <v>90</v>
      </c>
      <c r="AS63" s="242">
        <v>140</v>
      </c>
    </row>
    <row r="64" spans="1:45" x14ac:dyDescent="0.25">
      <c r="C64" s="20"/>
      <c r="D64" s="20">
        <f t="shared" si="1"/>
        <v>52</v>
      </c>
      <c r="E64" s="67" t="s">
        <v>129</v>
      </c>
      <c r="F64" s="31"/>
      <c r="G64" s="63">
        <v>240</v>
      </c>
      <c r="H64" s="242">
        <v>300</v>
      </c>
      <c r="I64" s="63"/>
      <c r="J64" s="63">
        <v>50</v>
      </c>
      <c r="K64" s="242">
        <v>60</v>
      </c>
      <c r="L64" s="63"/>
      <c r="M64" s="63">
        <v>40</v>
      </c>
      <c r="N64" s="242">
        <v>30</v>
      </c>
      <c r="O64" s="63"/>
      <c r="P64" s="63">
        <v>320</v>
      </c>
      <c r="Q64" s="242">
        <v>390</v>
      </c>
      <c r="S64" s="67" t="s">
        <v>129</v>
      </c>
      <c r="T64" s="31"/>
      <c r="U64" s="63">
        <v>130</v>
      </c>
      <c r="V64" s="242">
        <v>170</v>
      </c>
      <c r="W64" s="63"/>
      <c r="X64" s="63">
        <v>30</v>
      </c>
      <c r="Y64" s="242">
        <v>20</v>
      </c>
      <c r="Z64" s="63"/>
      <c r="AA64" s="63">
        <v>20</v>
      </c>
      <c r="AB64" s="242">
        <v>20</v>
      </c>
      <c r="AC64" s="63"/>
      <c r="AD64" s="63">
        <v>170</v>
      </c>
      <c r="AE64" s="242">
        <v>210</v>
      </c>
      <c r="AG64" s="67" t="s">
        <v>129</v>
      </c>
      <c r="AH64" s="31"/>
      <c r="AI64" s="63">
        <v>110</v>
      </c>
      <c r="AJ64" s="242">
        <v>130</v>
      </c>
      <c r="AK64" s="63"/>
      <c r="AL64" s="63">
        <v>20</v>
      </c>
      <c r="AM64" s="242">
        <v>30</v>
      </c>
      <c r="AN64" s="63"/>
      <c r="AO64" s="63">
        <v>20</v>
      </c>
      <c r="AP64" s="242">
        <v>10</v>
      </c>
      <c r="AQ64" s="63"/>
      <c r="AR64" s="63">
        <v>150</v>
      </c>
      <c r="AS64" s="242">
        <v>180</v>
      </c>
    </row>
    <row r="65" spans="3:45" x14ac:dyDescent="0.25">
      <c r="C65" s="20"/>
      <c r="D65" s="20">
        <f t="shared" si="1"/>
        <v>53</v>
      </c>
      <c r="E65" s="37"/>
      <c r="F65" s="55"/>
      <c r="G65" s="55"/>
      <c r="H65" s="157"/>
      <c r="I65" s="55"/>
      <c r="J65" s="55"/>
      <c r="K65" s="157"/>
      <c r="L65" s="55"/>
      <c r="M65" s="55"/>
      <c r="N65" s="157"/>
      <c r="O65" s="55"/>
      <c r="P65" s="55"/>
      <c r="Q65" s="157"/>
      <c r="S65" s="37"/>
      <c r="T65" s="55"/>
      <c r="U65" s="55"/>
      <c r="V65" s="157"/>
      <c r="W65" s="55"/>
      <c r="X65" s="55"/>
      <c r="Y65" s="157"/>
      <c r="Z65" s="55"/>
      <c r="AA65" s="55"/>
      <c r="AB65" s="157"/>
      <c r="AC65" s="55"/>
      <c r="AD65" s="55"/>
      <c r="AE65" s="157"/>
      <c r="AG65" s="37"/>
      <c r="AH65" s="55"/>
      <c r="AI65" s="55"/>
      <c r="AJ65" s="157"/>
      <c r="AK65" s="55"/>
      <c r="AL65" s="55"/>
      <c r="AM65" s="157"/>
      <c r="AN65" s="55"/>
      <c r="AO65" s="55"/>
      <c r="AP65" s="157"/>
      <c r="AQ65" s="55"/>
      <c r="AR65" s="55"/>
      <c r="AS65" s="157"/>
    </row>
    <row r="66" spans="3:45" x14ac:dyDescent="0.25">
      <c r="C66" s="20"/>
      <c r="D66" s="20">
        <f t="shared" si="1"/>
        <v>54</v>
      </c>
      <c r="E66" s="37" t="s">
        <v>78</v>
      </c>
      <c r="F66" s="55"/>
      <c r="G66" s="55"/>
      <c r="H66" s="157"/>
      <c r="I66" s="55"/>
      <c r="J66" s="55"/>
      <c r="K66" s="157"/>
      <c r="L66" s="55"/>
      <c r="M66" s="55"/>
      <c r="N66" s="157"/>
      <c r="O66" s="55"/>
      <c r="P66" s="55"/>
      <c r="Q66" s="157"/>
      <c r="S66" s="37" t="s">
        <v>78</v>
      </c>
      <c r="T66" s="55"/>
      <c r="U66" s="55"/>
      <c r="V66" s="157"/>
      <c r="W66" s="55"/>
      <c r="X66" s="55"/>
      <c r="Y66" s="157"/>
      <c r="Z66" s="55"/>
      <c r="AA66" s="55"/>
      <c r="AB66" s="157"/>
      <c r="AC66" s="55"/>
      <c r="AD66" s="55"/>
      <c r="AE66" s="157"/>
      <c r="AG66" s="37" t="s">
        <v>78</v>
      </c>
      <c r="AH66" s="55"/>
      <c r="AI66" s="55"/>
      <c r="AJ66" s="157"/>
      <c r="AK66" s="55"/>
      <c r="AL66" s="55"/>
      <c r="AM66" s="157"/>
      <c r="AN66" s="55"/>
      <c r="AO66" s="55"/>
      <c r="AP66" s="157"/>
      <c r="AQ66" s="55"/>
      <c r="AR66" s="55"/>
      <c r="AS66" s="157"/>
    </row>
    <row r="67" spans="3:45" x14ac:dyDescent="0.25">
      <c r="C67" s="20"/>
      <c r="D67" s="20">
        <f t="shared" si="1"/>
        <v>55</v>
      </c>
      <c r="E67" s="66" t="s">
        <v>127</v>
      </c>
      <c r="F67" s="55"/>
      <c r="G67" s="245">
        <v>17.5</v>
      </c>
      <c r="H67" s="246">
        <v>19.600000000000001</v>
      </c>
      <c r="I67" s="245"/>
      <c r="J67" s="245">
        <v>11.6</v>
      </c>
      <c r="K67" s="246">
        <v>12.8</v>
      </c>
      <c r="L67" s="245"/>
      <c r="M67" s="245">
        <v>19.7</v>
      </c>
      <c r="N67" s="246">
        <v>23.3</v>
      </c>
      <c r="O67" s="245"/>
      <c r="P67" s="245">
        <v>16.8</v>
      </c>
      <c r="Q67" s="246">
        <v>18.8</v>
      </c>
      <c r="S67" s="66" t="s">
        <v>127</v>
      </c>
      <c r="T67" s="55"/>
      <c r="U67" s="245">
        <v>15.4</v>
      </c>
      <c r="V67" s="246">
        <v>16.600000000000001</v>
      </c>
      <c r="W67" s="245"/>
      <c r="X67" s="245">
        <v>8.4</v>
      </c>
      <c r="Y67" s="246">
        <v>8.1</v>
      </c>
      <c r="Z67" s="245"/>
      <c r="AA67" s="245">
        <v>20.3</v>
      </c>
      <c r="AB67" s="246">
        <v>11.7</v>
      </c>
      <c r="AC67" s="245"/>
      <c r="AD67" s="245">
        <v>15</v>
      </c>
      <c r="AE67" s="246">
        <v>14.9</v>
      </c>
      <c r="AG67" s="66" t="s">
        <v>127</v>
      </c>
      <c r="AH67" s="55"/>
      <c r="AI67" s="245">
        <v>19.7</v>
      </c>
      <c r="AJ67" s="246">
        <v>22.8</v>
      </c>
      <c r="AK67" s="245"/>
      <c r="AL67" s="245">
        <v>14.6</v>
      </c>
      <c r="AM67" s="246">
        <v>17.2</v>
      </c>
      <c r="AN67" s="245"/>
      <c r="AO67" s="245">
        <v>19</v>
      </c>
      <c r="AP67" s="246">
        <v>33.299999999999997</v>
      </c>
      <c r="AQ67" s="245"/>
      <c r="AR67" s="245">
        <v>18.8</v>
      </c>
      <c r="AS67" s="246">
        <v>22.7</v>
      </c>
    </row>
    <row r="68" spans="3:45" x14ac:dyDescent="0.25">
      <c r="C68" s="20"/>
      <c r="D68" s="20">
        <f t="shared" si="1"/>
        <v>56</v>
      </c>
      <c r="E68" s="66"/>
      <c r="F68" s="55"/>
      <c r="G68" s="245"/>
      <c r="H68" s="247"/>
      <c r="I68" s="245"/>
      <c r="J68" s="245"/>
      <c r="K68" s="247"/>
      <c r="L68" s="245"/>
      <c r="M68" s="245"/>
      <c r="N68" s="247"/>
      <c r="O68" s="245"/>
      <c r="P68" s="245"/>
      <c r="Q68" s="247"/>
      <c r="S68" s="66"/>
      <c r="T68" s="55"/>
      <c r="U68" s="245"/>
      <c r="V68" s="247"/>
      <c r="W68" s="245"/>
      <c r="X68" s="245"/>
      <c r="Y68" s="247"/>
      <c r="Z68" s="245"/>
      <c r="AA68" s="245"/>
      <c r="AB68" s="247"/>
      <c r="AC68" s="245"/>
      <c r="AD68" s="245"/>
      <c r="AE68" s="247"/>
      <c r="AG68" s="66"/>
      <c r="AH68" s="55"/>
      <c r="AI68" s="245"/>
      <c r="AJ68" s="247"/>
      <c r="AK68" s="245"/>
      <c r="AL68" s="245"/>
      <c r="AM68" s="247"/>
      <c r="AN68" s="245"/>
      <c r="AO68" s="245"/>
      <c r="AP68" s="247"/>
      <c r="AQ68" s="245"/>
      <c r="AR68" s="245"/>
      <c r="AS68" s="247"/>
    </row>
    <row r="69" spans="3:45" x14ac:dyDescent="0.25">
      <c r="C69" s="20"/>
      <c r="D69" s="20">
        <f t="shared" si="1"/>
        <v>57</v>
      </c>
      <c r="E69" s="67" t="s">
        <v>45</v>
      </c>
      <c r="F69" s="55"/>
      <c r="G69" s="245">
        <v>30.3</v>
      </c>
      <c r="H69" s="246">
        <v>33.200000000000003</v>
      </c>
      <c r="I69" s="245"/>
      <c r="J69" s="245">
        <v>18.100000000000001</v>
      </c>
      <c r="K69" s="246">
        <v>20.6</v>
      </c>
      <c r="L69" s="245"/>
      <c r="M69" s="245">
        <v>28.6</v>
      </c>
      <c r="N69" s="246">
        <v>34.700000000000003</v>
      </c>
      <c r="O69" s="245"/>
      <c r="P69" s="245">
        <v>28</v>
      </c>
      <c r="Q69" s="246">
        <v>30.9</v>
      </c>
      <c r="S69" s="67" t="s">
        <v>45</v>
      </c>
      <c r="T69" s="55"/>
      <c r="U69" s="245">
        <v>31</v>
      </c>
      <c r="V69" s="246">
        <v>32.4</v>
      </c>
      <c r="W69" s="245"/>
      <c r="X69" s="245" t="s">
        <v>52</v>
      </c>
      <c r="Y69" s="246">
        <v>15.2</v>
      </c>
      <c r="Z69" s="245"/>
      <c r="AA69" s="245">
        <v>29</v>
      </c>
      <c r="AB69" s="246" t="s">
        <v>52</v>
      </c>
      <c r="AC69" s="245"/>
      <c r="AD69" s="245">
        <v>28.3</v>
      </c>
      <c r="AE69" s="246">
        <v>28</v>
      </c>
      <c r="AG69" s="67" t="s">
        <v>45</v>
      </c>
      <c r="AH69" s="55"/>
      <c r="AI69" s="245">
        <v>29.7</v>
      </c>
      <c r="AJ69" s="246">
        <v>33.9</v>
      </c>
      <c r="AK69" s="245"/>
      <c r="AL69" s="245">
        <v>20.3</v>
      </c>
      <c r="AM69" s="246">
        <v>24.7</v>
      </c>
      <c r="AN69" s="245"/>
      <c r="AO69" s="245">
        <v>28.2</v>
      </c>
      <c r="AP69" s="246">
        <v>43.8</v>
      </c>
      <c r="AQ69" s="245"/>
      <c r="AR69" s="245">
        <v>27.8</v>
      </c>
      <c r="AS69" s="246">
        <v>33.1</v>
      </c>
    </row>
    <row r="70" spans="3:45" x14ac:dyDescent="0.25">
      <c r="C70" s="20"/>
      <c r="D70" s="20">
        <f t="shared" si="1"/>
        <v>58</v>
      </c>
      <c r="E70" s="67"/>
      <c r="F70" s="55"/>
      <c r="G70" s="80"/>
      <c r="H70" s="248"/>
      <c r="I70" s="80"/>
      <c r="J70" s="80"/>
      <c r="K70" s="248"/>
      <c r="L70" s="80"/>
      <c r="M70" s="80"/>
      <c r="N70" s="248"/>
      <c r="O70" s="80"/>
      <c r="P70" s="80"/>
      <c r="Q70" s="248"/>
      <c r="S70" s="67"/>
      <c r="T70" s="55"/>
      <c r="U70" s="80"/>
      <c r="V70" s="248"/>
      <c r="W70" s="80"/>
      <c r="X70" s="80"/>
      <c r="Y70" s="248"/>
      <c r="Z70" s="80"/>
      <c r="AA70" s="80"/>
      <c r="AB70" s="248"/>
      <c r="AC70" s="80"/>
      <c r="AD70" s="80"/>
      <c r="AE70" s="248"/>
      <c r="AG70" s="67"/>
      <c r="AH70" s="55"/>
      <c r="AI70" s="80"/>
      <c r="AJ70" s="248"/>
      <c r="AK70" s="80"/>
      <c r="AL70" s="80"/>
      <c r="AM70" s="248"/>
      <c r="AN70" s="80"/>
      <c r="AO70" s="80"/>
      <c r="AP70" s="248"/>
      <c r="AQ70" s="80"/>
      <c r="AR70" s="80"/>
      <c r="AS70" s="248"/>
    </row>
    <row r="71" spans="3:45" x14ac:dyDescent="0.25">
      <c r="C71" s="20"/>
      <c r="D71" s="20">
        <f t="shared" si="1"/>
        <v>59</v>
      </c>
      <c r="E71" s="67" t="s">
        <v>75</v>
      </c>
      <c r="F71" s="55"/>
      <c r="G71" s="245">
        <v>6.2</v>
      </c>
      <c r="H71" s="246">
        <v>6.3</v>
      </c>
      <c r="I71" s="245"/>
      <c r="J71" s="245" t="s">
        <v>52</v>
      </c>
      <c r="K71" s="246" t="s">
        <v>52</v>
      </c>
      <c r="L71" s="245"/>
      <c r="M71" s="245" t="s">
        <v>52</v>
      </c>
      <c r="N71" s="246" t="s">
        <v>52</v>
      </c>
      <c r="O71" s="245"/>
      <c r="P71" s="245">
        <v>6.1</v>
      </c>
      <c r="Q71" s="246">
        <v>5.7</v>
      </c>
      <c r="S71" s="67" t="s">
        <v>75</v>
      </c>
      <c r="T71" s="55"/>
      <c r="U71" s="245">
        <v>5.2</v>
      </c>
      <c r="V71" s="246">
        <v>5</v>
      </c>
      <c r="W71" s="245"/>
      <c r="X71" s="245" t="s">
        <v>52</v>
      </c>
      <c r="Y71" s="246" t="s">
        <v>52</v>
      </c>
      <c r="Z71" s="245"/>
      <c r="AA71" s="245" t="s">
        <v>52</v>
      </c>
      <c r="AB71" s="246" t="s">
        <v>52</v>
      </c>
      <c r="AC71" s="245"/>
      <c r="AD71" s="245">
        <v>5.7</v>
      </c>
      <c r="AE71" s="246">
        <v>4.4000000000000004</v>
      </c>
      <c r="AG71" s="67" t="s">
        <v>75</v>
      </c>
      <c r="AH71" s="55"/>
      <c r="AI71" s="245">
        <v>7.6</v>
      </c>
      <c r="AJ71" s="246">
        <v>8.1999999999999993</v>
      </c>
      <c r="AK71" s="245"/>
      <c r="AL71" s="245" t="s">
        <v>52</v>
      </c>
      <c r="AM71" s="246" t="s">
        <v>52</v>
      </c>
      <c r="AN71" s="245"/>
      <c r="AO71" s="245" t="s">
        <v>52</v>
      </c>
      <c r="AP71" s="246" t="s">
        <v>52</v>
      </c>
      <c r="AQ71" s="245"/>
      <c r="AR71" s="245">
        <v>6.7</v>
      </c>
      <c r="AS71" s="246">
        <v>7.4</v>
      </c>
    </row>
    <row r="72" spans="3:45" x14ac:dyDescent="0.25">
      <c r="C72" s="20"/>
      <c r="D72" s="20">
        <f t="shared" si="1"/>
        <v>60</v>
      </c>
      <c r="E72" s="67" t="s">
        <v>128</v>
      </c>
      <c r="F72" s="67"/>
      <c r="G72" s="245" t="s">
        <v>52</v>
      </c>
      <c r="H72" s="246">
        <v>2.1</v>
      </c>
      <c r="I72" s="245"/>
      <c r="J72" s="245" t="s">
        <v>52</v>
      </c>
      <c r="K72" s="246" t="s">
        <v>52</v>
      </c>
      <c r="L72" s="245"/>
      <c r="M72" s="245" t="s">
        <v>52</v>
      </c>
      <c r="N72" s="246" t="s">
        <v>52</v>
      </c>
      <c r="O72" s="245"/>
      <c r="P72" s="245">
        <v>2.2000000000000002</v>
      </c>
      <c r="Q72" s="246">
        <v>1.7</v>
      </c>
      <c r="S72" s="67" t="s">
        <v>128</v>
      </c>
      <c r="T72" s="67"/>
      <c r="U72" s="245" t="s">
        <v>52</v>
      </c>
      <c r="V72" s="246" t="s">
        <v>52</v>
      </c>
      <c r="W72" s="245"/>
      <c r="X72" s="245" t="s">
        <v>52</v>
      </c>
      <c r="Y72" s="246" t="s">
        <v>52</v>
      </c>
      <c r="Z72" s="245"/>
      <c r="AA72" s="245" t="s">
        <v>52</v>
      </c>
      <c r="AB72" s="246" t="s">
        <v>52</v>
      </c>
      <c r="AC72" s="245"/>
      <c r="AD72" s="245" t="s">
        <v>52</v>
      </c>
      <c r="AE72" s="246" t="s">
        <v>52</v>
      </c>
      <c r="AG72" s="67" t="s">
        <v>128</v>
      </c>
      <c r="AH72" s="67"/>
      <c r="AI72" s="245" t="s">
        <v>52</v>
      </c>
      <c r="AJ72" s="246" t="s">
        <v>52</v>
      </c>
      <c r="AK72" s="245"/>
      <c r="AL72" s="245" t="s">
        <v>52</v>
      </c>
      <c r="AM72" s="246" t="s">
        <v>52</v>
      </c>
      <c r="AN72" s="245"/>
      <c r="AO72" s="245" t="s">
        <v>52</v>
      </c>
      <c r="AP72" s="246" t="s">
        <v>52</v>
      </c>
      <c r="AQ72" s="245"/>
      <c r="AR72" s="245" t="s">
        <v>52</v>
      </c>
      <c r="AS72" s="246" t="s">
        <v>52</v>
      </c>
    </row>
    <row r="73" spans="3:45" x14ac:dyDescent="0.25">
      <c r="C73" s="20"/>
      <c r="D73" s="20">
        <f t="shared" si="1"/>
        <v>61</v>
      </c>
      <c r="E73" s="72" t="s">
        <v>129</v>
      </c>
      <c r="F73" s="72"/>
      <c r="G73" s="249">
        <v>10.1</v>
      </c>
      <c r="H73" s="246">
        <v>10.199999999999999</v>
      </c>
      <c r="I73" s="249"/>
      <c r="J73" s="249" t="s">
        <v>52</v>
      </c>
      <c r="K73" s="246" t="s">
        <v>52</v>
      </c>
      <c r="L73" s="249"/>
      <c r="M73" s="249" t="s">
        <v>52</v>
      </c>
      <c r="N73" s="246" t="s">
        <v>52</v>
      </c>
      <c r="O73" s="249"/>
      <c r="P73" s="249">
        <v>9.4</v>
      </c>
      <c r="Q73" s="246">
        <v>9.3000000000000007</v>
      </c>
      <c r="S73" s="72" t="s">
        <v>129</v>
      </c>
      <c r="T73" s="72"/>
      <c r="U73" s="249">
        <v>9.5</v>
      </c>
      <c r="V73" s="246">
        <v>8.6999999999999993</v>
      </c>
      <c r="W73" s="249"/>
      <c r="X73" s="249" t="s">
        <v>52</v>
      </c>
      <c r="Y73" s="246" t="s">
        <v>52</v>
      </c>
      <c r="Z73" s="249"/>
      <c r="AA73" s="249" t="s">
        <v>52</v>
      </c>
      <c r="AB73" s="246" t="s">
        <v>52</v>
      </c>
      <c r="AC73" s="249"/>
      <c r="AD73" s="249">
        <v>9.3000000000000007</v>
      </c>
      <c r="AE73" s="246">
        <v>8.1</v>
      </c>
      <c r="AG73" s="72" t="s">
        <v>129</v>
      </c>
      <c r="AH73" s="72"/>
      <c r="AI73" s="249">
        <v>10.8</v>
      </c>
      <c r="AJ73" s="246">
        <v>12.2</v>
      </c>
      <c r="AK73" s="249"/>
      <c r="AL73" s="249" t="s">
        <v>52</v>
      </c>
      <c r="AM73" s="246" t="s">
        <v>52</v>
      </c>
      <c r="AN73" s="249"/>
      <c r="AO73" s="249" t="s">
        <v>52</v>
      </c>
      <c r="AP73" s="246" t="s">
        <v>52</v>
      </c>
      <c r="AQ73" s="249"/>
      <c r="AR73" s="249">
        <v>9.5</v>
      </c>
      <c r="AS73" s="246">
        <v>10.8</v>
      </c>
    </row>
    <row r="74" spans="3:45" x14ac:dyDescent="0.25">
      <c r="D74" s="20">
        <f t="shared" si="1"/>
        <v>62</v>
      </c>
      <c r="E74" s="74"/>
      <c r="F74" s="31"/>
      <c r="G74" s="31"/>
      <c r="H74" s="31"/>
      <c r="I74" s="31"/>
      <c r="J74" s="31"/>
      <c r="K74" s="31"/>
      <c r="L74" s="31"/>
      <c r="M74" s="31"/>
      <c r="N74" s="49"/>
      <c r="O74" s="31"/>
      <c r="P74" s="31"/>
      <c r="Q74" s="49" t="s">
        <v>120</v>
      </c>
      <c r="S74" s="74"/>
      <c r="T74" s="31"/>
      <c r="U74" s="31"/>
      <c r="V74" s="31"/>
      <c r="W74" s="31"/>
      <c r="X74" s="31"/>
      <c r="Y74" s="31"/>
      <c r="Z74" s="31"/>
      <c r="AA74" s="31"/>
      <c r="AB74" s="49"/>
      <c r="AC74" s="31"/>
      <c r="AD74" s="31"/>
      <c r="AE74" s="49" t="s">
        <v>120</v>
      </c>
      <c r="AG74" s="74"/>
      <c r="AH74" s="31"/>
      <c r="AI74" s="31"/>
      <c r="AJ74" s="31"/>
      <c r="AK74" s="31"/>
      <c r="AL74" s="31"/>
      <c r="AM74" s="31"/>
      <c r="AN74" s="31"/>
      <c r="AO74" s="31"/>
      <c r="AP74" s="49"/>
      <c r="AQ74" s="31"/>
      <c r="AR74" s="31"/>
      <c r="AS74" s="49" t="s">
        <v>120</v>
      </c>
    </row>
    <row r="75" spans="3:45" x14ac:dyDescent="0.25">
      <c r="D75" s="20">
        <f t="shared" si="1"/>
        <v>63</v>
      </c>
      <c r="E75" s="160"/>
      <c r="F75" s="31"/>
      <c r="G75" s="31"/>
      <c r="H75" s="31"/>
      <c r="I75" s="31"/>
      <c r="J75" s="31"/>
      <c r="K75" s="31"/>
      <c r="L75" s="31"/>
      <c r="M75" s="31"/>
      <c r="N75" s="49"/>
      <c r="O75" s="31"/>
      <c r="P75" s="31"/>
      <c r="Q75" s="31"/>
      <c r="S75" s="160"/>
      <c r="T75" s="31"/>
      <c r="U75" s="31"/>
      <c r="V75" s="31"/>
      <c r="W75" s="31"/>
      <c r="X75" s="31"/>
      <c r="Y75" s="31"/>
      <c r="Z75" s="31"/>
      <c r="AA75" s="31"/>
      <c r="AB75" s="49"/>
      <c r="AC75" s="31"/>
      <c r="AD75" s="31"/>
      <c r="AE75" s="31"/>
      <c r="AG75" s="160"/>
      <c r="AH75" s="31"/>
      <c r="AI75" s="31"/>
      <c r="AJ75" s="31"/>
      <c r="AK75" s="31"/>
      <c r="AL75" s="31"/>
      <c r="AM75" s="31"/>
      <c r="AN75" s="31"/>
      <c r="AO75" s="31"/>
      <c r="AP75" s="49"/>
      <c r="AQ75" s="31"/>
      <c r="AR75" s="31"/>
      <c r="AS75" s="31"/>
    </row>
    <row r="76" spans="3:45" x14ac:dyDescent="0.25">
      <c r="D76" s="20">
        <f t="shared" si="1"/>
        <v>64</v>
      </c>
      <c r="E76" s="51"/>
      <c r="F76" s="51"/>
      <c r="G76" s="51"/>
      <c r="H76" s="51"/>
      <c r="I76" s="51"/>
      <c r="J76" s="51"/>
      <c r="K76" s="51"/>
      <c r="L76" s="51"/>
      <c r="M76" s="51"/>
      <c r="N76" s="51"/>
      <c r="O76" s="51"/>
      <c r="P76" s="51"/>
      <c r="Q76" s="51"/>
      <c r="S76" s="51"/>
      <c r="T76" s="51"/>
      <c r="U76" s="51"/>
      <c r="V76" s="51"/>
      <c r="W76" s="51"/>
      <c r="X76" s="51"/>
      <c r="Y76" s="51"/>
      <c r="Z76" s="51"/>
      <c r="AA76" s="51"/>
      <c r="AB76" s="51"/>
      <c r="AC76" s="51"/>
      <c r="AD76" s="51"/>
      <c r="AE76" s="51"/>
      <c r="AG76" s="51"/>
      <c r="AH76" s="51"/>
      <c r="AI76" s="51"/>
      <c r="AJ76" s="51"/>
      <c r="AK76" s="51"/>
      <c r="AL76" s="51"/>
      <c r="AM76" s="51"/>
      <c r="AN76" s="51"/>
      <c r="AO76" s="51"/>
      <c r="AP76" s="51"/>
      <c r="AQ76" s="51"/>
      <c r="AR76" s="51"/>
      <c r="AS76" s="51"/>
    </row>
    <row r="77" spans="3:45" x14ac:dyDescent="0.25">
      <c r="D77" s="20">
        <f t="shared" si="1"/>
        <v>65</v>
      </c>
      <c r="E77" s="51"/>
      <c r="F77" s="51"/>
      <c r="G77" s="51"/>
      <c r="H77" s="51"/>
      <c r="I77" s="51"/>
      <c r="J77" s="51"/>
      <c r="K77" s="51"/>
      <c r="L77" s="51"/>
      <c r="M77" s="51"/>
      <c r="N77" s="51"/>
      <c r="O77" s="51"/>
      <c r="P77" s="51"/>
      <c r="Q77" s="51"/>
      <c r="S77" s="51"/>
      <c r="T77" s="51"/>
      <c r="U77" s="51"/>
      <c r="V77" s="51"/>
      <c r="W77" s="51"/>
      <c r="X77" s="51"/>
      <c r="Y77" s="51"/>
      <c r="Z77" s="51"/>
      <c r="AA77" s="51"/>
      <c r="AB77" s="51"/>
      <c r="AC77" s="51"/>
      <c r="AD77" s="51"/>
      <c r="AE77" s="51"/>
      <c r="AG77" s="51"/>
      <c r="AH77" s="51"/>
      <c r="AI77" s="51"/>
      <c r="AJ77" s="51"/>
      <c r="AK77" s="51"/>
      <c r="AL77" s="51"/>
      <c r="AM77" s="51"/>
      <c r="AN77" s="51"/>
      <c r="AO77" s="51"/>
      <c r="AP77" s="51"/>
      <c r="AQ77" s="51"/>
      <c r="AR77" s="51"/>
      <c r="AS77" s="51"/>
    </row>
    <row r="78" spans="3:45" x14ac:dyDescent="0.25">
      <c r="D78" s="20">
        <f t="shared" si="1"/>
        <v>66</v>
      </c>
      <c r="E78" s="51"/>
      <c r="F78" s="51"/>
      <c r="G78" s="51"/>
      <c r="H78" s="51"/>
      <c r="I78" s="51"/>
      <c r="J78" s="51"/>
      <c r="K78" s="51"/>
      <c r="L78" s="51"/>
      <c r="M78" s="85"/>
      <c r="N78" s="85"/>
      <c r="O78" s="51"/>
      <c r="P78" s="51"/>
      <c r="Q78" s="51"/>
      <c r="S78" s="51"/>
      <c r="T78" s="51"/>
      <c r="U78" s="51"/>
      <c r="V78" s="51"/>
      <c r="W78" s="51"/>
      <c r="X78" s="51"/>
      <c r="Y78" s="51"/>
      <c r="Z78" s="51"/>
      <c r="AA78" s="85"/>
      <c r="AB78" s="85"/>
      <c r="AC78" s="51"/>
      <c r="AD78" s="51"/>
      <c r="AE78" s="51"/>
      <c r="AG78" s="51"/>
      <c r="AH78" s="51"/>
      <c r="AI78" s="51"/>
      <c r="AJ78" s="51"/>
      <c r="AK78" s="51"/>
      <c r="AL78" s="51"/>
      <c r="AM78" s="51"/>
      <c r="AN78" s="51"/>
      <c r="AO78" s="85"/>
      <c r="AP78" s="85"/>
      <c r="AQ78" s="51"/>
      <c r="AR78" s="51"/>
      <c r="AS78" s="51"/>
    </row>
    <row r="79" spans="3:45" x14ac:dyDescent="0.25">
      <c r="D79" s="20">
        <f t="shared" ref="D79:D135" si="2">D78+1</f>
        <v>67</v>
      </c>
      <c r="E79" s="51"/>
      <c r="F79" s="51"/>
      <c r="G79" s="51"/>
      <c r="H79" s="51"/>
      <c r="I79" s="51"/>
      <c r="J79" s="51"/>
      <c r="K79" s="50"/>
      <c r="L79" s="51"/>
      <c r="M79" s="85"/>
      <c r="N79" s="85"/>
      <c r="O79" s="51"/>
      <c r="P79" s="51"/>
      <c r="Q79" s="51"/>
      <c r="S79" s="51"/>
      <c r="T79" s="51"/>
      <c r="U79" s="51"/>
      <c r="V79" s="51"/>
      <c r="W79" s="51"/>
      <c r="X79" s="51"/>
      <c r="Y79" s="50"/>
      <c r="Z79" s="51"/>
      <c r="AA79" s="85"/>
      <c r="AB79" s="85"/>
      <c r="AC79" s="51"/>
      <c r="AD79" s="51"/>
      <c r="AE79" s="51"/>
      <c r="AG79" s="51"/>
      <c r="AH79" s="51"/>
      <c r="AI79" s="51"/>
      <c r="AJ79" s="51"/>
      <c r="AK79" s="51"/>
      <c r="AL79" s="51"/>
      <c r="AM79" s="50"/>
      <c r="AN79" s="51"/>
      <c r="AO79" s="85"/>
      <c r="AP79" s="85"/>
      <c r="AQ79" s="51"/>
      <c r="AR79" s="51"/>
      <c r="AS79" s="51"/>
    </row>
    <row r="80" spans="3:45" x14ac:dyDescent="0.25">
      <c r="D80" s="20">
        <f t="shared" si="2"/>
        <v>68</v>
      </c>
      <c r="E80" s="103"/>
      <c r="F80" s="103"/>
      <c r="G80" s="51"/>
      <c r="H80" s="85"/>
      <c r="I80" s="85"/>
      <c r="J80" s="85"/>
      <c r="K80" s="85"/>
      <c r="L80" s="85"/>
      <c r="M80" s="51"/>
      <c r="N80" s="51"/>
      <c r="O80" s="51"/>
      <c r="P80" s="51"/>
      <c r="Q80" s="51"/>
      <c r="S80" s="103"/>
      <c r="T80" s="103"/>
      <c r="U80" s="51"/>
      <c r="V80" s="85"/>
      <c r="W80" s="85"/>
      <c r="X80" s="85"/>
      <c r="Y80" s="85"/>
      <c r="Z80" s="85"/>
      <c r="AA80" s="51"/>
      <c r="AB80" s="51"/>
      <c r="AC80" s="51"/>
      <c r="AD80" s="51"/>
      <c r="AE80" s="51"/>
      <c r="AG80" s="103"/>
      <c r="AH80" s="103"/>
      <c r="AI80" s="51"/>
      <c r="AJ80" s="85"/>
      <c r="AK80" s="85"/>
      <c r="AL80" s="85"/>
      <c r="AM80" s="85"/>
      <c r="AN80" s="85"/>
      <c r="AO80" s="51"/>
      <c r="AP80" s="51"/>
      <c r="AQ80" s="51"/>
      <c r="AR80" s="51"/>
      <c r="AS80" s="51"/>
    </row>
    <row r="81" spans="4:45" x14ac:dyDescent="0.25">
      <c r="D81" s="20">
        <f t="shared" si="2"/>
        <v>69</v>
      </c>
      <c r="E81" s="103"/>
      <c r="F81" s="103"/>
      <c r="G81" s="51"/>
      <c r="H81" s="85"/>
      <c r="I81" s="85"/>
      <c r="J81" s="85"/>
      <c r="K81" s="85"/>
      <c r="L81" s="85"/>
      <c r="M81" s="51"/>
      <c r="N81" s="51"/>
      <c r="O81" s="51"/>
      <c r="P81" s="51"/>
      <c r="Q81" s="51"/>
      <c r="S81" s="103"/>
      <c r="T81" s="103"/>
      <c r="U81" s="51"/>
      <c r="V81" s="85"/>
      <c r="W81" s="85"/>
      <c r="X81" s="85"/>
      <c r="Y81" s="85"/>
      <c r="Z81" s="85"/>
      <c r="AA81" s="51"/>
      <c r="AB81" s="51"/>
      <c r="AC81" s="51"/>
      <c r="AD81" s="51"/>
      <c r="AE81" s="51"/>
      <c r="AG81" s="103"/>
      <c r="AH81" s="103"/>
      <c r="AI81" s="51"/>
      <c r="AJ81" s="85"/>
      <c r="AK81" s="85"/>
      <c r="AL81" s="85"/>
      <c r="AM81" s="85"/>
      <c r="AN81" s="85"/>
      <c r="AO81" s="51"/>
      <c r="AP81" s="51"/>
      <c r="AQ81" s="51"/>
      <c r="AR81" s="51"/>
      <c r="AS81" s="51"/>
    </row>
    <row r="82" spans="4:45" x14ac:dyDescent="0.25">
      <c r="D82" s="20">
        <f t="shared" si="2"/>
        <v>70</v>
      </c>
      <c r="E82" s="103"/>
      <c r="F82" s="51"/>
      <c r="G82" s="51"/>
      <c r="H82" s="51"/>
      <c r="I82" s="51"/>
      <c r="J82" s="51"/>
      <c r="K82" s="51"/>
      <c r="L82" s="51"/>
      <c r="M82" s="51"/>
      <c r="N82" s="51"/>
      <c r="O82" s="51"/>
      <c r="P82" s="51"/>
      <c r="Q82" s="51"/>
      <c r="S82" s="103"/>
      <c r="T82" s="51"/>
      <c r="U82" s="51"/>
      <c r="V82" s="51"/>
      <c r="W82" s="51"/>
      <c r="X82" s="51"/>
      <c r="Y82" s="51"/>
      <c r="Z82" s="51"/>
      <c r="AA82" s="51"/>
      <c r="AB82" s="51"/>
      <c r="AC82" s="51"/>
      <c r="AD82" s="51"/>
      <c r="AE82" s="51"/>
      <c r="AG82" s="103"/>
      <c r="AH82" s="51"/>
      <c r="AI82" s="51"/>
      <c r="AJ82" s="51"/>
      <c r="AK82" s="51"/>
      <c r="AL82" s="51"/>
      <c r="AM82" s="51"/>
      <c r="AN82" s="51"/>
      <c r="AO82" s="51"/>
      <c r="AP82" s="51"/>
      <c r="AQ82" s="51"/>
      <c r="AR82" s="51"/>
      <c r="AS82" s="51"/>
    </row>
    <row r="83" spans="4:45" x14ac:dyDescent="0.25">
      <c r="D83" s="20">
        <f t="shared" si="2"/>
        <v>71</v>
      </c>
      <c r="E83" s="103"/>
      <c r="F83" s="51"/>
      <c r="G83" s="51"/>
      <c r="H83" s="51"/>
      <c r="I83" s="51"/>
      <c r="J83" s="51"/>
      <c r="K83" s="51"/>
      <c r="L83" s="51"/>
      <c r="M83" s="51"/>
      <c r="N83" s="51"/>
      <c r="O83" s="51"/>
      <c r="P83" s="51"/>
      <c r="Q83" s="51"/>
      <c r="S83" s="103"/>
      <c r="T83" s="51"/>
      <c r="U83" s="51"/>
      <c r="V83" s="51"/>
      <c r="W83" s="51"/>
      <c r="X83" s="51"/>
      <c r="Y83" s="51"/>
      <c r="Z83" s="51"/>
      <c r="AA83" s="51"/>
      <c r="AB83" s="51"/>
      <c r="AC83" s="51"/>
      <c r="AD83" s="51"/>
      <c r="AE83" s="51"/>
      <c r="AG83" s="103"/>
      <c r="AH83" s="51"/>
      <c r="AI83" s="51"/>
      <c r="AJ83" s="51"/>
      <c r="AK83" s="51"/>
      <c r="AL83" s="51"/>
      <c r="AM83" s="51"/>
      <c r="AN83" s="51"/>
      <c r="AO83" s="51"/>
      <c r="AP83" s="51"/>
      <c r="AQ83" s="51"/>
      <c r="AR83" s="51"/>
      <c r="AS83" s="51"/>
    </row>
    <row r="84" spans="4:45" x14ac:dyDescent="0.25">
      <c r="D84" s="20">
        <f t="shared" si="2"/>
        <v>72</v>
      </c>
      <c r="E84" s="103"/>
      <c r="F84" s="51"/>
      <c r="G84" s="82"/>
      <c r="H84" s="82"/>
      <c r="I84" s="82"/>
      <c r="J84" s="51"/>
      <c r="K84" s="51"/>
      <c r="L84" s="82"/>
      <c r="M84" s="51"/>
      <c r="N84" s="51"/>
      <c r="O84" s="51"/>
      <c r="P84" s="51"/>
      <c r="Q84" s="51"/>
      <c r="S84" s="103"/>
      <c r="T84" s="51"/>
      <c r="U84" s="82"/>
      <c r="V84" s="82"/>
      <c r="W84" s="82"/>
      <c r="X84" s="51"/>
      <c r="Y84" s="51"/>
      <c r="Z84" s="82"/>
      <c r="AA84" s="51"/>
      <c r="AB84" s="51"/>
      <c r="AC84" s="51"/>
      <c r="AD84" s="51"/>
      <c r="AE84" s="51"/>
      <c r="AG84" s="103"/>
      <c r="AH84" s="51"/>
      <c r="AI84" s="82"/>
      <c r="AJ84" s="82"/>
      <c r="AK84" s="82"/>
      <c r="AL84" s="51"/>
      <c r="AM84" s="51"/>
      <c r="AN84" s="82"/>
      <c r="AO84" s="51"/>
      <c r="AP84" s="51"/>
      <c r="AQ84" s="51"/>
      <c r="AR84" s="51"/>
      <c r="AS84" s="51"/>
    </row>
    <row r="85" spans="4:45" x14ac:dyDescent="0.25">
      <c r="D85" s="20">
        <f t="shared" si="2"/>
        <v>73</v>
      </c>
      <c r="E85" s="103"/>
      <c r="F85" s="51"/>
      <c r="G85" s="51"/>
      <c r="H85" s="51"/>
      <c r="I85" s="51"/>
      <c r="J85" s="51"/>
      <c r="K85" s="51"/>
      <c r="L85" s="51"/>
      <c r="M85" s="51"/>
      <c r="N85" s="51"/>
      <c r="O85" s="51"/>
      <c r="P85" s="51"/>
      <c r="Q85" s="51"/>
      <c r="S85" s="103"/>
      <c r="T85" s="51"/>
      <c r="U85" s="51"/>
      <c r="V85" s="51"/>
      <c r="W85" s="51"/>
      <c r="X85" s="51"/>
      <c r="Y85" s="51"/>
      <c r="Z85" s="51"/>
      <c r="AA85" s="51"/>
      <c r="AB85" s="51"/>
      <c r="AC85" s="51"/>
      <c r="AD85" s="51"/>
      <c r="AE85" s="51"/>
      <c r="AG85" s="103"/>
      <c r="AH85" s="51"/>
      <c r="AI85" s="51"/>
      <c r="AJ85" s="51"/>
      <c r="AK85" s="51"/>
      <c r="AL85" s="51"/>
      <c r="AM85" s="51"/>
      <c r="AN85" s="51"/>
      <c r="AO85" s="51"/>
      <c r="AP85" s="51"/>
      <c r="AQ85" s="51"/>
      <c r="AR85" s="51"/>
      <c r="AS85" s="51"/>
    </row>
    <row r="86" spans="4:45" x14ac:dyDescent="0.25">
      <c r="D86" s="20">
        <f t="shared" si="2"/>
        <v>74</v>
      </c>
      <c r="E86" s="51"/>
      <c r="F86" s="40"/>
      <c r="G86" s="51"/>
      <c r="H86" s="51"/>
      <c r="I86" s="51"/>
      <c r="J86" s="51"/>
      <c r="K86" s="51"/>
      <c r="L86" s="51"/>
      <c r="M86" s="51"/>
      <c r="N86" s="51"/>
      <c r="O86" s="51"/>
      <c r="P86" s="51"/>
      <c r="Q86" s="51"/>
      <c r="S86" s="51"/>
      <c r="T86" s="40"/>
      <c r="U86" s="51"/>
      <c r="V86" s="51"/>
      <c r="W86" s="51"/>
      <c r="X86" s="51"/>
      <c r="Y86" s="51"/>
      <c r="Z86" s="51"/>
      <c r="AA86" s="51"/>
      <c r="AB86" s="51"/>
      <c r="AC86" s="51"/>
      <c r="AD86" s="51"/>
      <c r="AE86" s="51"/>
      <c r="AG86" s="51"/>
      <c r="AH86" s="40"/>
      <c r="AI86" s="51"/>
      <c r="AJ86" s="51"/>
      <c r="AK86" s="51"/>
      <c r="AL86" s="51"/>
      <c r="AM86" s="51"/>
      <c r="AN86" s="51"/>
      <c r="AO86" s="51"/>
      <c r="AP86" s="51"/>
      <c r="AQ86" s="51"/>
      <c r="AR86" s="51"/>
      <c r="AS86" s="51"/>
    </row>
    <row r="87" spans="4:45" x14ac:dyDescent="0.25">
      <c r="D87" s="20">
        <f t="shared" si="2"/>
        <v>75</v>
      </c>
      <c r="E87" s="51"/>
      <c r="F87" s="250"/>
      <c r="G87" s="51"/>
      <c r="H87" s="51"/>
      <c r="I87" s="51"/>
      <c r="J87" s="51"/>
      <c r="K87" s="51"/>
      <c r="L87" s="51"/>
      <c r="M87" s="51"/>
      <c r="N87" s="51"/>
      <c r="O87" s="51"/>
      <c r="P87" s="51"/>
      <c r="Q87" s="51"/>
      <c r="S87" s="51"/>
      <c r="T87" s="250"/>
      <c r="U87" s="51"/>
      <c r="V87" s="51"/>
      <c r="W87" s="51"/>
      <c r="X87" s="51"/>
      <c r="Y87" s="51"/>
      <c r="Z87" s="51"/>
      <c r="AA87" s="51"/>
      <c r="AB87" s="51"/>
      <c r="AC87" s="51"/>
      <c r="AD87" s="51"/>
      <c r="AE87" s="51"/>
      <c r="AG87" s="51"/>
      <c r="AH87" s="250"/>
      <c r="AI87" s="51"/>
      <c r="AJ87" s="51"/>
      <c r="AK87" s="51"/>
      <c r="AL87" s="51"/>
      <c r="AM87" s="51"/>
      <c r="AN87" s="51"/>
      <c r="AO87" s="51"/>
      <c r="AP87" s="51"/>
      <c r="AQ87" s="51"/>
      <c r="AR87" s="51"/>
      <c r="AS87" s="51"/>
    </row>
    <row r="88" spans="4:45" x14ac:dyDescent="0.25">
      <c r="D88" s="20">
        <f t="shared" si="2"/>
        <v>76</v>
      </c>
      <c r="E88" s="31"/>
      <c r="F88" s="250"/>
      <c r="G88" s="31"/>
      <c r="H88" s="31"/>
      <c r="I88" s="31"/>
      <c r="J88" s="31"/>
      <c r="K88" s="31"/>
      <c r="L88" s="31"/>
      <c r="M88" s="31"/>
      <c r="N88" s="31"/>
      <c r="O88" s="31"/>
      <c r="P88" s="31"/>
      <c r="Q88" s="31"/>
      <c r="S88" s="31"/>
      <c r="T88" s="250"/>
      <c r="U88" s="31"/>
      <c r="V88" s="31"/>
      <c r="W88" s="31"/>
      <c r="X88" s="31"/>
      <c r="Y88" s="31"/>
      <c r="Z88" s="31"/>
      <c r="AA88" s="31"/>
      <c r="AB88" s="31"/>
      <c r="AC88" s="31"/>
      <c r="AD88" s="31"/>
      <c r="AE88" s="31"/>
      <c r="AG88" s="31"/>
      <c r="AH88" s="250"/>
      <c r="AI88" s="31"/>
      <c r="AJ88" s="31"/>
      <c r="AK88" s="31"/>
      <c r="AL88" s="31"/>
      <c r="AM88" s="31"/>
      <c r="AN88" s="31"/>
      <c r="AO88" s="31"/>
      <c r="AP88" s="31"/>
      <c r="AQ88" s="31"/>
      <c r="AR88" s="31"/>
      <c r="AS88" s="31"/>
    </row>
    <row r="89" spans="4:45" x14ac:dyDescent="0.25">
      <c r="D89" s="20">
        <f t="shared" si="2"/>
        <v>77</v>
      </c>
    </row>
    <row r="90" spans="4:45" x14ac:dyDescent="0.25">
      <c r="D90" s="20">
        <f t="shared" si="2"/>
        <v>78</v>
      </c>
    </row>
    <row r="91" spans="4:45" x14ac:dyDescent="0.25">
      <c r="D91" s="20">
        <f t="shared" si="2"/>
        <v>79</v>
      </c>
      <c r="E91" s="15"/>
      <c r="F91" s="31"/>
      <c r="G91" s="31"/>
      <c r="H91" s="31"/>
      <c r="I91" s="31"/>
      <c r="J91" s="31"/>
      <c r="K91" s="31"/>
      <c r="L91" s="31"/>
      <c r="M91" s="31"/>
      <c r="N91" s="31"/>
      <c r="O91" s="31"/>
      <c r="P91" s="31"/>
      <c r="Q91" s="31"/>
      <c r="S91" s="15"/>
      <c r="T91" s="31"/>
      <c r="U91" s="31"/>
      <c r="V91" s="31"/>
      <c r="W91" s="31"/>
      <c r="X91" s="31"/>
      <c r="Y91" s="31"/>
      <c r="Z91" s="31"/>
      <c r="AA91" s="31"/>
      <c r="AB91" s="31"/>
      <c r="AC91" s="31"/>
      <c r="AD91" s="31"/>
      <c r="AE91" s="31"/>
      <c r="AG91" s="15"/>
      <c r="AH91" s="31"/>
      <c r="AI91" s="31"/>
      <c r="AJ91" s="31"/>
      <c r="AK91" s="31"/>
      <c r="AL91" s="31"/>
      <c r="AM91" s="31"/>
      <c r="AN91" s="31"/>
      <c r="AO91" s="31"/>
      <c r="AP91" s="31"/>
      <c r="AQ91" s="31"/>
      <c r="AR91" s="31"/>
      <c r="AS91" s="31"/>
    </row>
    <row r="92" spans="4:45" x14ac:dyDescent="0.25">
      <c r="D92" s="20">
        <f t="shared" si="2"/>
        <v>80</v>
      </c>
      <c r="E92" s="204"/>
      <c r="F92" s="31"/>
      <c r="G92" s="31"/>
      <c r="H92" s="31"/>
      <c r="I92" s="31"/>
      <c r="J92" s="31"/>
      <c r="K92" s="31"/>
      <c r="L92" s="31"/>
      <c r="M92" s="31"/>
      <c r="N92" s="31"/>
      <c r="O92" s="31"/>
      <c r="P92" s="31"/>
      <c r="Q92" s="31"/>
      <c r="S92" s="204"/>
      <c r="T92" s="31"/>
      <c r="U92" s="31"/>
      <c r="V92" s="31"/>
      <c r="W92" s="31"/>
      <c r="X92" s="31"/>
      <c r="Y92" s="31"/>
      <c r="Z92" s="31"/>
      <c r="AA92" s="31"/>
      <c r="AB92" s="31"/>
      <c r="AC92" s="31"/>
      <c r="AD92" s="31"/>
      <c r="AE92" s="31"/>
      <c r="AG92" s="204"/>
      <c r="AH92" s="31"/>
      <c r="AI92" s="31"/>
      <c r="AJ92" s="31"/>
      <c r="AK92" s="31"/>
      <c r="AL92" s="31"/>
      <c r="AM92" s="31"/>
      <c r="AN92" s="31"/>
      <c r="AO92" s="31"/>
      <c r="AP92" s="31"/>
      <c r="AQ92" s="31"/>
      <c r="AR92" s="31"/>
      <c r="AS92" s="31"/>
    </row>
    <row r="93" spans="4:45" x14ac:dyDescent="0.25">
      <c r="D93" s="20">
        <f t="shared" si="2"/>
        <v>81</v>
      </c>
      <c r="E93" s="345" t="s">
        <v>125</v>
      </c>
      <c r="F93" s="345"/>
      <c r="G93" s="345"/>
      <c r="H93" s="345"/>
      <c r="I93" s="345"/>
      <c r="J93" s="345"/>
      <c r="K93" s="345"/>
      <c r="L93" s="345"/>
      <c r="M93" s="345"/>
      <c r="N93" s="345"/>
      <c r="O93" s="31"/>
      <c r="P93" s="31"/>
      <c r="Q93" s="31"/>
      <c r="S93" s="345" t="s">
        <v>125</v>
      </c>
      <c r="T93" s="345"/>
      <c r="U93" s="345"/>
      <c r="V93" s="345"/>
      <c r="W93" s="345"/>
      <c r="X93" s="345"/>
      <c r="Y93" s="345"/>
      <c r="Z93" s="345"/>
      <c r="AA93" s="345"/>
      <c r="AB93" s="345"/>
      <c r="AC93" s="31"/>
      <c r="AD93" s="31"/>
      <c r="AE93" s="31"/>
      <c r="AG93" s="345" t="s">
        <v>125</v>
      </c>
      <c r="AH93" s="345"/>
      <c r="AI93" s="345"/>
      <c r="AJ93" s="345"/>
      <c r="AK93" s="345"/>
      <c r="AL93" s="345"/>
      <c r="AM93" s="345"/>
      <c r="AN93" s="345"/>
      <c r="AO93" s="345"/>
      <c r="AP93" s="345"/>
      <c r="AQ93" s="31"/>
      <c r="AR93" s="31"/>
      <c r="AS93" s="31"/>
    </row>
    <row r="94" spans="4:45" x14ac:dyDescent="0.25">
      <c r="D94" s="20">
        <f t="shared" si="2"/>
        <v>82</v>
      </c>
      <c r="E94" s="32" t="s">
        <v>126</v>
      </c>
      <c r="F94" s="52"/>
      <c r="G94" s="52"/>
      <c r="H94" s="52"/>
      <c r="I94" s="52"/>
      <c r="J94" s="52"/>
      <c r="K94" s="52"/>
      <c r="L94" s="52"/>
      <c r="M94" s="156"/>
      <c r="N94" s="156"/>
      <c r="O94" s="31"/>
      <c r="P94" s="31"/>
      <c r="Q94" s="31"/>
      <c r="S94" s="32" t="s">
        <v>126</v>
      </c>
      <c r="T94" s="52"/>
      <c r="U94" s="52"/>
      <c r="V94" s="52"/>
      <c r="W94" s="52"/>
      <c r="X94" s="52"/>
      <c r="Y94" s="52"/>
      <c r="Z94" s="52"/>
      <c r="AA94" s="156"/>
      <c r="AB94" s="156"/>
      <c r="AC94" s="31"/>
      <c r="AD94" s="31"/>
      <c r="AE94" s="31"/>
      <c r="AG94" s="32" t="s">
        <v>126</v>
      </c>
      <c r="AH94" s="52"/>
      <c r="AI94" s="52"/>
      <c r="AJ94" s="52"/>
      <c r="AK94" s="52"/>
      <c r="AL94" s="52"/>
      <c r="AM94" s="52"/>
      <c r="AN94" s="52"/>
      <c r="AO94" s="156"/>
      <c r="AP94" s="156"/>
      <c r="AQ94" s="31"/>
      <c r="AR94" s="31"/>
      <c r="AS94" s="31"/>
    </row>
    <row r="95" spans="4:45" x14ac:dyDescent="0.25">
      <c r="D95" s="20">
        <f t="shared" si="2"/>
        <v>83</v>
      </c>
      <c r="E95" s="81" t="s">
        <v>92</v>
      </c>
      <c r="F95" s="52"/>
      <c r="G95" s="52"/>
      <c r="H95" s="52"/>
      <c r="I95" s="52"/>
      <c r="J95" s="52"/>
      <c r="K95" s="52"/>
      <c r="L95" s="52"/>
      <c r="M95" s="240" t="s">
        <v>17</v>
      </c>
      <c r="N95" s="354" t="s">
        <v>20</v>
      </c>
      <c r="O95" s="354"/>
      <c r="P95" s="354"/>
      <c r="Q95" s="355"/>
      <c r="S95" s="81" t="s">
        <v>92</v>
      </c>
      <c r="T95" s="52"/>
      <c r="U95" s="52"/>
      <c r="V95" s="52"/>
      <c r="W95" s="52"/>
      <c r="X95" s="52"/>
      <c r="Y95" s="52"/>
      <c r="Z95" s="52"/>
      <c r="AA95" s="240" t="s">
        <v>17</v>
      </c>
      <c r="AB95" s="354" t="s">
        <v>19</v>
      </c>
      <c r="AC95" s="354"/>
      <c r="AD95" s="354"/>
      <c r="AE95" s="355"/>
      <c r="AG95" s="81" t="s">
        <v>92</v>
      </c>
      <c r="AH95" s="52"/>
      <c r="AI95" s="52"/>
      <c r="AJ95" s="52"/>
      <c r="AK95" s="52"/>
      <c r="AL95" s="52"/>
      <c r="AM95" s="52"/>
      <c r="AN95" s="52"/>
      <c r="AO95" s="240" t="s">
        <v>17</v>
      </c>
      <c r="AP95" s="354" t="s">
        <v>18</v>
      </c>
      <c r="AQ95" s="354"/>
      <c r="AR95" s="354"/>
      <c r="AS95" s="355"/>
    </row>
    <row r="96" spans="4:45" x14ac:dyDescent="0.25">
      <c r="D96" s="20">
        <f t="shared" si="2"/>
        <v>84</v>
      </c>
      <c r="E96" s="31"/>
      <c r="F96" s="53"/>
      <c r="G96" s="53"/>
      <c r="H96" s="53"/>
      <c r="I96" s="53"/>
      <c r="J96" s="31"/>
      <c r="K96" s="31"/>
      <c r="L96" s="31"/>
      <c r="M96" s="240" t="s">
        <v>82</v>
      </c>
      <c r="N96" s="354" t="s">
        <v>81</v>
      </c>
      <c r="O96" s="354"/>
      <c r="P96" s="354"/>
      <c r="Q96" s="355"/>
      <c r="S96" s="31"/>
      <c r="T96" s="53"/>
      <c r="U96" s="53"/>
      <c r="V96" s="53"/>
      <c r="W96" s="53"/>
      <c r="X96" s="31"/>
      <c r="Y96" s="31"/>
      <c r="Z96" s="31"/>
      <c r="AA96" s="240" t="s">
        <v>82</v>
      </c>
      <c r="AB96" s="354" t="s">
        <v>81</v>
      </c>
      <c r="AC96" s="354"/>
      <c r="AD96" s="354"/>
      <c r="AE96" s="355"/>
      <c r="AG96" s="31"/>
      <c r="AH96" s="53"/>
      <c r="AI96" s="53"/>
      <c r="AJ96" s="53"/>
      <c r="AK96" s="53"/>
      <c r="AL96" s="31"/>
      <c r="AM96" s="31"/>
      <c r="AN96" s="31"/>
      <c r="AO96" s="240" t="s">
        <v>82</v>
      </c>
      <c r="AP96" s="354" t="s">
        <v>81</v>
      </c>
      <c r="AQ96" s="354"/>
      <c r="AR96" s="354"/>
      <c r="AS96" s="355"/>
    </row>
    <row r="97" spans="1:45" x14ac:dyDescent="0.25">
      <c r="D97" s="20">
        <f t="shared" si="2"/>
        <v>85</v>
      </c>
      <c r="E97" s="31"/>
      <c r="F97" s="53"/>
      <c r="G97" s="53"/>
      <c r="H97" s="20">
        <v>24</v>
      </c>
      <c r="I97" s="241"/>
      <c r="J97" s="189"/>
      <c r="K97" s="20">
        <v>24</v>
      </c>
      <c r="L97" s="20"/>
      <c r="M97" s="20"/>
      <c r="N97" s="20">
        <v>24</v>
      </c>
      <c r="O97" s="20"/>
      <c r="P97" s="20"/>
      <c r="Q97" s="20">
        <v>24</v>
      </c>
      <c r="S97" s="31"/>
      <c r="T97" s="53"/>
      <c r="U97" s="53"/>
      <c r="V97" s="20">
        <v>12</v>
      </c>
      <c r="W97" s="241"/>
      <c r="X97" s="189"/>
      <c r="Y97" s="20">
        <v>12</v>
      </c>
      <c r="Z97" s="20"/>
      <c r="AA97" s="20"/>
      <c r="AB97" s="20">
        <v>12</v>
      </c>
      <c r="AC97" s="20"/>
      <c r="AD97" s="20"/>
      <c r="AE97" s="20">
        <v>12</v>
      </c>
      <c r="AG97" s="31"/>
      <c r="AH97" s="53"/>
      <c r="AI97" s="53"/>
      <c r="AJ97" s="20">
        <v>0</v>
      </c>
      <c r="AK97" s="53"/>
      <c r="AL97" s="31"/>
      <c r="AM97" s="20">
        <v>0</v>
      </c>
      <c r="AN97" s="31"/>
      <c r="AO97" s="31"/>
      <c r="AP97" s="20">
        <v>0</v>
      </c>
      <c r="AQ97" s="31"/>
      <c r="AR97" s="31"/>
      <c r="AS97" s="20">
        <v>0</v>
      </c>
    </row>
    <row r="98" spans="1:45" x14ac:dyDescent="0.25">
      <c r="D98" s="20">
        <f t="shared" si="2"/>
        <v>86</v>
      </c>
      <c r="E98" s="54"/>
      <c r="F98" s="55"/>
      <c r="G98" s="55"/>
      <c r="H98" s="20">
        <v>0</v>
      </c>
      <c r="I98" s="206"/>
      <c r="J98" s="251"/>
      <c r="K98" s="20">
        <v>14</v>
      </c>
      <c r="L98" s="189"/>
      <c r="M98" s="189"/>
      <c r="N98" s="20">
        <v>7</v>
      </c>
      <c r="O98" s="189"/>
      <c r="P98" s="189"/>
      <c r="Q98" s="20">
        <v>28</v>
      </c>
      <c r="S98" s="54"/>
      <c r="T98" s="55"/>
      <c r="U98" s="55"/>
      <c r="V98" s="20">
        <v>0</v>
      </c>
      <c r="W98" s="206"/>
      <c r="X98" s="251"/>
      <c r="Y98" s="20">
        <v>14</v>
      </c>
      <c r="Z98" s="189"/>
      <c r="AA98" s="189"/>
      <c r="AB98" s="20">
        <v>7</v>
      </c>
      <c r="AC98" s="189"/>
      <c r="AD98" s="189"/>
      <c r="AE98" s="20">
        <v>28</v>
      </c>
      <c r="AG98" s="54"/>
      <c r="AH98" s="55"/>
      <c r="AI98" s="55"/>
      <c r="AJ98" s="20">
        <v>0</v>
      </c>
      <c r="AK98" s="206"/>
      <c r="AL98" s="251"/>
      <c r="AM98" s="20">
        <v>14</v>
      </c>
      <c r="AN98" s="189"/>
      <c r="AO98" s="189"/>
      <c r="AP98" s="20">
        <v>7</v>
      </c>
      <c r="AQ98" s="189"/>
      <c r="AR98" s="189"/>
      <c r="AS98" s="20">
        <v>28</v>
      </c>
    </row>
    <row r="99" spans="1:45" x14ac:dyDescent="0.25">
      <c r="D99" s="20">
        <f t="shared" si="2"/>
        <v>87</v>
      </c>
      <c r="E99" s="116"/>
      <c r="F99" s="117"/>
      <c r="G99" s="346" t="s">
        <v>111</v>
      </c>
      <c r="H99" s="348"/>
      <c r="I99" s="117"/>
      <c r="J99" s="346" t="s">
        <v>112</v>
      </c>
      <c r="K99" s="348"/>
      <c r="L99" s="117"/>
      <c r="M99" s="346" t="s">
        <v>113</v>
      </c>
      <c r="N99" s="348"/>
      <c r="O99" s="117"/>
      <c r="P99" s="346" t="s">
        <v>20</v>
      </c>
      <c r="Q99" s="348"/>
      <c r="S99" s="116"/>
      <c r="T99" s="117"/>
      <c r="U99" s="346" t="s">
        <v>111</v>
      </c>
      <c r="V99" s="348"/>
      <c r="W99" s="117"/>
      <c r="X99" s="346" t="s">
        <v>112</v>
      </c>
      <c r="Y99" s="348"/>
      <c r="Z99" s="117"/>
      <c r="AA99" s="346" t="s">
        <v>113</v>
      </c>
      <c r="AB99" s="348"/>
      <c r="AC99" s="117"/>
      <c r="AD99" s="346" t="s">
        <v>20</v>
      </c>
      <c r="AE99" s="348"/>
      <c r="AG99" s="116"/>
      <c r="AH99" s="117"/>
      <c r="AI99" s="346" t="s">
        <v>111</v>
      </c>
      <c r="AJ99" s="348"/>
      <c r="AK99" s="117"/>
      <c r="AL99" s="346" t="s">
        <v>112</v>
      </c>
      <c r="AM99" s="348"/>
      <c r="AN99" s="117"/>
      <c r="AO99" s="346" t="s">
        <v>113</v>
      </c>
      <c r="AP99" s="348"/>
      <c r="AQ99" s="117"/>
      <c r="AR99" s="346" t="s">
        <v>20</v>
      </c>
      <c r="AS99" s="348"/>
    </row>
    <row r="100" spans="1:45" x14ac:dyDescent="0.25">
      <c r="D100" s="20">
        <f t="shared" si="2"/>
        <v>88</v>
      </c>
      <c r="E100" s="26"/>
      <c r="F100" s="58"/>
      <c r="G100" s="184" t="s">
        <v>98</v>
      </c>
      <c r="H100" s="183" t="s">
        <v>99</v>
      </c>
      <c r="I100" s="118"/>
      <c r="J100" s="184" t="s">
        <v>98</v>
      </c>
      <c r="K100" s="183" t="s">
        <v>99</v>
      </c>
      <c r="L100" s="118"/>
      <c r="M100" s="184" t="s">
        <v>98</v>
      </c>
      <c r="N100" s="183" t="s">
        <v>99</v>
      </c>
      <c r="O100" s="118"/>
      <c r="P100" s="184" t="s">
        <v>98</v>
      </c>
      <c r="Q100" s="183" t="s">
        <v>99</v>
      </c>
      <c r="S100" s="26"/>
      <c r="T100" s="58"/>
      <c r="U100" s="184" t="s">
        <v>98</v>
      </c>
      <c r="V100" s="183" t="s">
        <v>99</v>
      </c>
      <c r="W100" s="118"/>
      <c r="X100" s="184" t="s">
        <v>98</v>
      </c>
      <c r="Y100" s="183" t="s">
        <v>99</v>
      </c>
      <c r="Z100" s="118"/>
      <c r="AA100" s="184" t="s">
        <v>98</v>
      </c>
      <c r="AB100" s="183" t="s">
        <v>99</v>
      </c>
      <c r="AC100" s="118"/>
      <c r="AD100" s="184" t="s">
        <v>98</v>
      </c>
      <c r="AE100" s="183" t="s">
        <v>99</v>
      </c>
      <c r="AG100" s="26"/>
      <c r="AH100" s="58"/>
      <c r="AI100" s="184" t="s">
        <v>98</v>
      </c>
      <c r="AJ100" s="183" t="s">
        <v>99</v>
      </c>
      <c r="AK100" s="118"/>
      <c r="AL100" s="184" t="s">
        <v>98</v>
      </c>
      <c r="AM100" s="183" t="s">
        <v>99</v>
      </c>
      <c r="AN100" s="118"/>
      <c r="AO100" s="184" t="s">
        <v>98</v>
      </c>
      <c r="AP100" s="183" t="s">
        <v>99</v>
      </c>
      <c r="AQ100" s="118"/>
      <c r="AR100" s="184" t="s">
        <v>98</v>
      </c>
      <c r="AS100" s="183" t="s">
        <v>99</v>
      </c>
    </row>
    <row r="101" spans="1:45" x14ac:dyDescent="0.25">
      <c r="D101" s="20">
        <f t="shared" si="2"/>
        <v>89</v>
      </c>
      <c r="E101" s="37"/>
      <c r="F101" s="55"/>
      <c r="G101" s="158"/>
      <c r="H101" s="157"/>
      <c r="I101" s="55"/>
      <c r="J101" s="158"/>
      <c r="K101" s="157"/>
      <c r="L101" s="55"/>
      <c r="M101" s="158"/>
      <c r="N101" s="157"/>
      <c r="O101" s="55"/>
      <c r="P101" s="158"/>
      <c r="Q101" s="157"/>
      <c r="S101" s="37"/>
      <c r="T101" s="55"/>
      <c r="U101" s="158"/>
      <c r="V101" s="157"/>
      <c r="W101" s="55"/>
      <c r="X101" s="158"/>
      <c r="Y101" s="157"/>
      <c r="Z101" s="55"/>
      <c r="AA101" s="158"/>
      <c r="AB101" s="157"/>
      <c r="AC101" s="55"/>
      <c r="AD101" s="158"/>
      <c r="AE101" s="157"/>
      <c r="AG101" s="37"/>
      <c r="AH101" s="55"/>
      <c r="AI101" s="158"/>
      <c r="AJ101" s="157"/>
      <c r="AK101" s="55"/>
      <c r="AL101" s="158"/>
      <c r="AM101" s="157"/>
      <c r="AN101" s="55"/>
      <c r="AO101" s="158"/>
      <c r="AP101" s="157"/>
      <c r="AQ101" s="55"/>
      <c r="AR101" s="158"/>
      <c r="AS101" s="157"/>
    </row>
    <row r="102" spans="1:45" x14ac:dyDescent="0.25">
      <c r="D102" s="20">
        <f t="shared" si="2"/>
        <v>90</v>
      </c>
      <c r="E102" s="37" t="s">
        <v>21</v>
      </c>
      <c r="F102" s="55"/>
      <c r="G102" s="158"/>
      <c r="H102" s="157"/>
      <c r="I102" s="55"/>
      <c r="J102" s="158"/>
      <c r="K102" s="157"/>
      <c r="L102" s="55"/>
      <c r="M102" s="158"/>
      <c r="N102" s="157"/>
      <c r="O102" s="55"/>
      <c r="P102" s="158"/>
      <c r="Q102" s="157"/>
      <c r="S102" s="37" t="s">
        <v>21</v>
      </c>
      <c r="T102" s="55"/>
      <c r="U102" s="158"/>
      <c r="V102" s="157"/>
      <c r="W102" s="55"/>
      <c r="X102" s="158"/>
      <c r="Y102" s="157"/>
      <c r="Z102" s="55"/>
      <c r="AA102" s="158"/>
      <c r="AB102" s="157"/>
      <c r="AC102" s="55"/>
      <c r="AD102" s="158"/>
      <c r="AE102" s="157"/>
      <c r="AG102" s="37" t="s">
        <v>21</v>
      </c>
      <c r="AH102" s="55"/>
      <c r="AI102" s="158"/>
      <c r="AJ102" s="157"/>
      <c r="AK102" s="55"/>
      <c r="AL102" s="158"/>
      <c r="AM102" s="157"/>
      <c r="AN102" s="55"/>
      <c r="AO102" s="158"/>
      <c r="AP102" s="157"/>
      <c r="AQ102" s="55"/>
      <c r="AR102" s="158"/>
      <c r="AS102" s="157"/>
    </row>
    <row r="103" spans="1:45" x14ac:dyDescent="0.25">
      <c r="A103" s="14" t="s">
        <v>81</v>
      </c>
      <c r="B103" s="20">
        <v>3</v>
      </c>
      <c r="C103" s="20"/>
      <c r="D103" s="20">
        <f t="shared" si="2"/>
        <v>91</v>
      </c>
      <c r="E103" s="66" t="s">
        <v>127</v>
      </c>
      <c r="F103" s="55"/>
      <c r="G103" s="63">
        <v>850</v>
      </c>
      <c r="H103" s="242">
        <v>1160</v>
      </c>
      <c r="I103" s="63"/>
      <c r="J103" s="63">
        <v>170</v>
      </c>
      <c r="K103" s="242">
        <v>260</v>
      </c>
      <c r="L103" s="63"/>
      <c r="M103" s="63">
        <v>130</v>
      </c>
      <c r="N103" s="242">
        <v>130</v>
      </c>
      <c r="O103" s="63"/>
      <c r="P103" s="63">
        <v>1150</v>
      </c>
      <c r="Q103" s="242">
        <v>1540</v>
      </c>
      <c r="S103" s="66" t="s">
        <v>127</v>
      </c>
      <c r="T103" s="55"/>
      <c r="U103" s="63">
        <v>440</v>
      </c>
      <c r="V103" s="242">
        <v>590</v>
      </c>
      <c r="W103" s="63"/>
      <c r="X103" s="63">
        <v>80</v>
      </c>
      <c r="Y103" s="242">
        <v>120</v>
      </c>
      <c r="Z103" s="63"/>
      <c r="AA103" s="63">
        <v>60</v>
      </c>
      <c r="AB103" s="242">
        <v>60</v>
      </c>
      <c r="AC103" s="63"/>
      <c r="AD103" s="63">
        <v>590</v>
      </c>
      <c r="AE103" s="242">
        <v>770</v>
      </c>
      <c r="AG103" s="66" t="s">
        <v>127</v>
      </c>
      <c r="AH103" s="55"/>
      <c r="AI103" s="63">
        <v>410</v>
      </c>
      <c r="AJ103" s="242">
        <v>570</v>
      </c>
      <c r="AK103" s="63"/>
      <c r="AL103" s="63">
        <v>90</v>
      </c>
      <c r="AM103" s="242">
        <v>130</v>
      </c>
      <c r="AN103" s="63"/>
      <c r="AO103" s="63">
        <v>60</v>
      </c>
      <c r="AP103" s="242">
        <v>70</v>
      </c>
      <c r="AQ103" s="63"/>
      <c r="AR103" s="63">
        <v>560</v>
      </c>
      <c r="AS103" s="242">
        <v>770</v>
      </c>
    </row>
    <row r="104" spans="1:45" x14ac:dyDescent="0.25">
      <c r="C104" s="20"/>
      <c r="D104" s="20">
        <f t="shared" si="2"/>
        <v>92</v>
      </c>
      <c r="E104" s="66"/>
      <c r="F104" s="55"/>
      <c r="G104" s="68"/>
      <c r="H104" s="243"/>
      <c r="I104" s="68"/>
      <c r="J104" s="68"/>
      <c r="K104" s="243"/>
      <c r="L104" s="68"/>
      <c r="M104" s="68"/>
      <c r="N104" s="243"/>
      <c r="O104" s="68"/>
      <c r="P104" s="68"/>
      <c r="Q104" s="243"/>
      <c r="S104" s="66"/>
      <c r="T104" s="55"/>
      <c r="U104" s="68"/>
      <c r="V104" s="243"/>
      <c r="W104" s="68"/>
      <c r="X104" s="68"/>
      <c r="Y104" s="243"/>
      <c r="Z104" s="68"/>
      <c r="AA104" s="68"/>
      <c r="AB104" s="243"/>
      <c r="AC104" s="68"/>
      <c r="AD104" s="68"/>
      <c r="AE104" s="243"/>
      <c r="AG104" s="66"/>
      <c r="AH104" s="55"/>
      <c r="AI104" s="68"/>
      <c r="AJ104" s="243"/>
      <c r="AK104" s="68"/>
      <c r="AL104" s="68"/>
      <c r="AM104" s="243"/>
      <c r="AN104" s="68"/>
      <c r="AO104" s="68"/>
      <c r="AP104" s="243"/>
      <c r="AQ104" s="68"/>
      <c r="AR104" s="68"/>
      <c r="AS104" s="243"/>
    </row>
    <row r="105" spans="1:45" x14ac:dyDescent="0.25">
      <c r="C105" s="20"/>
      <c r="D105" s="20">
        <f t="shared" si="2"/>
        <v>93</v>
      </c>
      <c r="E105" s="67" t="s">
        <v>45</v>
      </c>
      <c r="F105" s="55"/>
      <c r="G105" s="63">
        <v>400</v>
      </c>
      <c r="H105" s="242">
        <v>570</v>
      </c>
      <c r="I105" s="63"/>
      <c r="J105" s="63">
        <v>90</v>
      </c>
      <c r="K105" s="242">
        <v>160</v>
      </c>
      <c r="L105" s="63"/>
      <c r="M105" s="63">
        <v>70</v>
      </c>
      <c r="N105" s="242">
        <v>80</v>
      </c>
      <c r="O105" s="63"/>
      <c r="P105" s="63">
        <v>560</v>
      </c>
      <c r="Q105" s="242">
        <v>800</v>
      </c>
      <c r="S105" s="67" t="s">
        <v>45</v>
      </c>
      <c r="T105" s="55"/>
      <c r="U105" s="63">
        <v>170</v>
      </c>
      <c r="V105" s="242">
        <v>250</v>
      </c>
      <c r="W105" s="63"/>
      <c r="X105" s="63">
        <v>40</v>
      </c>
      <c r="Y105" s="242">
        <v>70</v>
      </c>
      <c r="Z105" s="63"/>
      <c r="AA105" s="63">
        <v>30</v>
      </c>
      <c r="AB105" s="242">
        <v>30</v>
      </c>
      <c r="AC105" s="63"/>
      <c r="AD105" s="63">
        <v>240</v>
      </c>
      <c r="AE105" s="242">
        <v>340</v>
      </c>
      <c r="AG105" s="67" t="s">
        <v>45</v>
      </c>
      <c r="AH105" s="55"/>
      <c r="AI105" s="63">
        <v>220</v>
      </c>
      <c r="AJ105" s="242">
        <v>320</v>
      </c>
      <c r="AK105" s="63"/>
      <c r="AL105" s="63">
        <v>60</v>
      </c>
      <c r="AM105" s="242">
        <v>90</v>
      </c>
      <c r="AN105" s="63"/>
      <c r="AO105" s="63">
        <v>40</v>
      </c>
      <c r="AP105" s="242">
        <v>50</v>
      </c>
      <c r="AQ105" s="63"/>
      <c r="AR105" s="63">
        <v>320</v>
      </c>
      <c r="AS105" s="242">
        <v>460</v>
      </c>
    </row>
    <row r="106" spans="1:45" x14ac:dyDescent="0.25">
      <c r="C106" s="20"/>
      <c r="D106" s="20">
        <f t="shared" si="2"/>
        <v>94</v>
      </c>
      <c r="E106" s="67"/>
      <c r="F106" s="55"/>
      <c r="G106" s="70"/>
      <c r="H106" s="244"/>
      <c r="I106" s="70"/>
      <c r="J106" s="70"/>
      <c r="K106" s="244"/>
      <c r="L106" s="70"/>
      <c r="M106" s="70"/>
      <c r="N106" s="244"/>
      <c r="O106" s="70"/>
      <c r="P106" s="70"/>
      <c r="Q106" s="244"/>
      <c r="S106" s="67"/>
      <c r="T106" s="55"/>
      <c r="U106" s="70"/>
      <c r="V106" s="244"/>
      <c r="W106" s="70"/>
      <c r="X106" s="70"/>
      <c r="Y106" s="244"/>
      <c r="Z106" s="70"/>
      <c r="AA106" s="70"/>
      <c r="AB106" s="244"/>
      <c r="AC106" s="70"/>
      <c r="AD106" s="70"/>
      <c r="AE106" s="244"/>
      <c r="AG106" s="67"/>
      <c r="AH106" s="55"/>
      <c r="AI106" s="70"/>
      <c r="AJ106" s="244"/>
      <c r="AK106" s="70"/>
      <c r="AL106" s="70"/>
      <c r="AM106" s="244"/>
      <c r="AN106" s="70"/>
      <c r="AO106" s="70"/>
      <c r="AP106" s="244"/>
      <c r="AQ106" s="70"/>
      <c r="AR106" s="70"/>
      <c r="AS106" s="244"/>
    </row>
    <row r="107" spans="1:45" x14ac:dyDescent="0.25">
      <c r="C107" s="20"/>
      <c r="D107" s="20">
        <f t="shared" si="2"/>
        <v>95</v>
      </c>
      <c r="E107" s="67" t="s">
        <v>75</v>
      </c>
      <c r="F107" s="55"/>
      <c r="G107" s="63">
        <v>450</v>
      </c>
      <c r="H107" s="242">
        <v>590</v>
      </c>
      <c r="I107" s="63"/>
      <c r="J107" s="63">
        <v>80</v>
      </c>
      <c r="K107" s="242">
        <v>100</v>
      </c>
      <c r="L107" s="63"/>
      <c r="M107" s="63">
        <v>60</v>
      </c>
      <c r="N107" s="242">
        <v>50</v>
      </c>
      <c r="O107" s="63"/>
      <c r="P107" s="63">
        <v>590</v>
      </c>
      <c r="Q107" s="242">
        <v>740</v>
      </c>
      <c r="S107" s="67" t="s">
        <v>75</v>
      </c>
      <c r="T107" s="55"/>
      <c r="U107" s="63">
        <v>270</v>
      </c>
      <c r="V107" s="242">
        <v>340</v>
      </c>
      <c r="W107" s="63"/>
      <c r="X107" s="63">
        <v>50</v>
      </c>
      <c r="Y107" s="242">
        <v>60</v>
      </c>
      <c r="Z107" s="63"/>
      <c r="AA107" s="63">
        <v>30</v>
      </c>
      <c r="AB107" s="242">
        <v>30</v>
      </c>
      <c r="AC107" s="63"/>
      <c r="AD107" s="63">
        <v>350</v>
      </c>
      <c r="AE107" s="242">
        <v>430</v>
      </c>
      <c r="AG107" s="67" t="s">
        <v>75</v>
      </c>
      <c r="AH107" s="55"/>
      <c r="AI107" s="63">
        <v>190</v>
      </c>
      <c r="AJ107" s="242">
        <v>250</v>
      </c>
      <c r="AK107" s="63"/>
      <c r="AL107" s="63">
        <v>30</v>
      </c>
      <c r="AM107" s="242">
        <v>50</v>
      </c>
      <c r="AN107" s="63"/>
      <c r="AO107" s="63">
        <v>20</v>
      </c>
      <c r="AP107" s="242">
        <v>20</v>
      </c>
      <c r="AQ107" s="63"/>
      <c r="AR107" s="63">
        <v>240</v>
      </c>
      <c r="AS107" s="242">
        <v>310</v>
      </c>
    </row>
    <row r="108" spans="1:45" x14ac:dyDescent="0.25">
      <c r="C108" s="20"/>
      <c r="D108" s="20">
        <f t="shared" si="2"/>
        <v>96</v>
      </c>
      <c r="E108" s="67" t="s">
        <v>128</v>
      </c>
      <c r="F108" s="31"/>
      <c r="G108" s="63">
        <v>220</v>
      </c>
      <c r="H108" s="242">
        <v>280</v>
      </c>
      <c r="I108" s="63"/>
      <c r="J108" s="63">
        <v>30</v>
      </c>
      <c r="K108" s="242">
        <v>50</v>
      </c>
      <c r="L108" s="63"/>
      <c r="M108" s="63">
        <v>20</v>
      </c>
      <c r="N108" s="242">
        <v>30</v>
      </c>
      <c r="O108" s="63"/>
      <c r="P108" s="63">
        <v>270</v>
      </c>
      <c r="Q108" s="242">
        <v>360</v>
      </c>
      <c r="S108" s="67" t="s">
        <v>128</v>
      </c>
      <c r="T108" s="31"/>
      <c r="U108" s="63">
        <v>140</v>
      </c>
      <c r="V108" s="242">
        <v>170</v>
      </c>
      <c r="W108" s="63"/>
      <c r="X108" s="63">
        <v>20</v>
      </c>
      <c r="Y108" s="242">
        <v>30</v>
      </c>
      <c r="Z108" s="63"/>
      <c r="AA108" s="63">
        <v>10</v>
      </c>
      <c r="AB108" s="242">
        <v>20</v>
      </c>
      <c r="AC108" s="63"/>
      <c r="AD108" s="63">
        <v>180</v>
      </c>
      <c r="AE108" s="242">
        <v>220</v>
      </c>
      <c r="AG108" s="67" t="s">
        <v>128</v>
      </c>
      <c r="AH108" s="31"/>
      <c r="AI108" s="63">
        <v>70</v>
      </c>
      <c r="AJ108" s="242">
        <v>110</v>
      </c>
      <c r="AK108" s="63"/>
      <c r="AL108" s="63">
        <v>10</v>
      </c>
      <c r="AM108" s="242">
        <v>10</v>
      </c>
      <c r="AN108" s="63"/>
      <c r="AO108" s="63">
        <v>10</v>
      </c>
      <c r="AP108" s="242">
        <v>10</v>
      </c>
      <c r="AQ108" s="63"/>
      <c r="AR108" s="63">
        <v>90</v>
      </c>
      <c r="AS108" s="242">
        <v>140</v>
      </c>
    </row>
    <row r="109" spans="1:45" x14ac:dyDescent="0.25">
      <c r="C109" s="20"/>
      <c r="D109" s="20">
        <f t="shared" si="2"/>
        <v>97</v>
      </c>
      <c r="E109" s="67" t="s">
        <v>129</v>
      </c>
      <c r="F109" s="31"/>
      <c r="G109" s="63">
        <v>240</v>
      </c>
      <c r="H109" s="242">
        <v>300</v>
      </c>
      <c r="I109" s="63"/>
      <c r="J109" s="63">
        <v>50</v>
      </c>
      <c r="K109" s="242">
        <v>60</v>
      </c>
      <c r="L109" s="63"/>
      <c r="M109" s="63">
        <v>40</v>
      </c>
      <c r="N109" s="242">
        <v>30</v>
      </c>
      <c r="O109" s="63"/>
      <c r="P109" s="63">
        <v>320</v>
      </c>
      <c r="Q109" s="242">
        <v>390</v>
      </c>
      <c r="S109" s="67" t="s">
        <v>129</v>
      </c>
      <c r="T109" s="31"/>
      <c r="U109" s="63">
        <v>130</v>
      </c>
      <c r="V109" s="242">
        <v>170</v>
      </c>
      <c r="W109" s="63"/>
      <c r="X109" s="63">
        <v>30</v>
      </c>
      <c r="Y109" s="242">
        <v>20</v>
      </c>
      <c r="Z109" s="63"/>
      <c r="AA109" s="63">
        <v>20</v>
      </c>
      <c r="AB109" s="242">
        <v>20</v>
      </c>
      <c r="AC109" s="63"/>
      <c r="AD109" s="63">
        <v>170</v>
      </c>
      <c r="AE109" s="242">
        <v>210</v>
      </c>
      <c r="AG109" s="67" t="s">
        <v>129</v>
      </c>
      <c r="AH109" s="31"/>
      <c r="AI109" s="63">
        <v>110</v>
      </c>
      <c r="AJ109" s="242">
        <v>130</v>
      </c>
      <c r="AK109" s="63"/>
      <c r="AL109" s="63">
        <v>20</v>
      </c>
      <c r="AM109" s="242">
        <v>30</v>
      </c>
      <c r="AN109" s="63"/>
      <c r="AO109" s="63">
        <v>20</v>
      </c>
      <c r="AP109" s="242">
        <v>10</v>
      </c>
      <c r="AQ109" s="63"/>
      <c r="AR109" s="63">
        <v>150</v>
      </c>
      <c r="AS109" s="242">
        <v>180</v>
      </c>
    </row>
    <row r="110" spans="1:45" x14ac:dyDescent="0.25">
      <c r="C110" s="20"/>
      <c r="D110" s="20">
        <f t="shared" si="2"/>
        <v>98</v>
      </c>
      <c r="E110" s="37"/>
      <c r="F110" s="55"/>
      <c r="G110" s="55"/>
      <c r="H110" s="157"/>
      <c r="I110" s="55"/>
      <c r="J110" s="55"/>
      <c r="K110" s="157"/>
      <c r="L110" s="55"/>
      <c r="M110" s="55"/>
      <c r="N110" s="157"/>
      <c r="O110" s="55"/>
      <c r="P110" s="55"/>
      <c r="Q110" s="157"/>
      <c r="S110" s="37"/>
      <c r="T110" s="55"/>
      <c r="U110" s="55"/>
      <c r="V110" s="157"/>
      <c r="W110" s="55"/>
      <c r="X110" s="55"/>
      <c r="Y110" s="157"/>
      <c r="Z110" s="55"/>
      <c r="AA110" s="55"/>
      <c r="AB110" s="157"/>
      <c r="AC110" s="55"/>
      <c r="AD110" s="55"/>
      <c r="AE110" s="157"/>
      <c r="AG110" s="37"/>
      <c r="AH110" s="55"/>
      <c r="AI110" s="55"/>
      <c r="AJ110" s="157"/>
      <c r="AK110" s="55"/>
      <c r="AL110" s="55"/>
      <c r="AM110" s="157"/>
      <c r="AN110" s="55"/>
      <c r="AO110" s="55"/>
      <c r="AP110" s="157"/>
      <c r="AQ110" s="55"/>
      <c r="AR110" s="55"/>
      <c r="AS110" s="157"/>
    </row>
    <row r="111" spans="1:45" x14ac:dyDescent="0.25">
      <c r="C111" s="20"/>
      <c r="D111" s="20">
        <f t="shared" si="2"/>
        <v>99</v>
      </c>
      <c r="E111" s="37" t="s">
        <v>78</v>
      </c>
      <c r="F111" s="55"/>
      <c r="G111" s="55"/>
      <c r="H111" s="157"/>
      <c r="I111" s="55"/>
      <c r="J111" s="55"/>
      <c r="K111" s="157"/>
      <c r="L111" s="55"/>
      <c r="M111" s="55"/>
      <c r="N111" s="157"/>
      <c r="O111" s="55"/>
      <c r="P111" s="55"/>
      <c r="Q111" s="157"/>
      <c r="S111" s="37" t="s">
        <v>78</v>
      </c>
      <c r="T111" s="55"/>
      <c r="U111" s="55"/>
      <c r="V111" s="157"/>
      <c r="W111" s="55"/>
      <c r="X111" s="55"/>
      <c r="Y111" s="157"/>
      <c r="Z111" s="55"/>
      <c r="AA111" s="55"/>
      <c r="AB111" s="157"/>
      <c r="AC111" s="55"/>
      <c r="AD111" s="55"/>
      <c r="AE111" s="157"/>
      <c r="AG111" s="37" t="s">
        <v>78</v>
      </c>
      <c r="AH111" s="55"/>
      <c r="AI111" s="55"/>
      <c r="AJ111" s="157"/>
      <c r="AK111" s="55"/>
      <c r="AL111" s="55"/>
      <c r="AM111" s="157"/>
      <c r="AN111" s="55"/>
      <c r="AO111" s="55"/>
      <c r="AP111" s="157"/>
      <c r="AQ111" s="55"/>
      <c r="AR111" s="55"/>
      <c r="AS111" s="157"/>
    </row>
    <row r="112" spans="1:45" x14ac:dyDescent="0.25">
      <c r="C112" s="20"/>
      <c r="D112" s="20">
        <f t="shared" si="2"/>
        <v>100</v>
      </c>
      <c r="E112" s="66" t="s">
        <v>127</v>
      </c>
      <c r="F112" s="55"/>
      <c r="G112" s="245">
        <v>6.3</v>
      </c>
      <c r="H112" s="246">
        <v>7.8</v>
      </c>
      <c r="I112" s="245"/>
      <c r="J112" s="245">
        <v>4.7</v>
      </c>
      <c r="K112" s="246">
        <v>4.7</v>
      </c>
      <c r="L112" s="245"/>
      <c r="M112" s="245">
        <v>7.1</v>
      </c>
      <c r="N112" s="246">
        <v>10.9</v>
      </c>
      <c r="O112" s="245"/>
      <c r="P112" s="245">
        <v>6.1</v>
      </c>
      <c r="Q112" s="246">
        <v>7.5</v>
      </c>
      <c r="S112" s="66" t="s">
        <v>127</v>
      </c>
      <c r="T112" s="55"/>
      <c r="U112" s="252">
        <v>4.3</v>
      </c>
      <c r="V112" s="245">
        <v>6.9</v>
      </c>
      <c r="W112" s="246"/>
      <c r="X112" s="245" t="s">
        <v>52</v>
      </c>
      <c r="Y112" s="245" t="s">
        <v>52</v>
      </c>
      <c r="Z112" s="246"/>
      <c r="AA112" s="245" t="s">
        <v>52</v>
      </c>
      <c r="AB112" s="245" t="s">
        <v>52</v>
      </c>
      <c r="AC112" s="246"/>
      <c r="AD112" s="245">
        <v>3.7</v>
      </c>
      <c r="AE112" s="245">
        <v>5.7</v>
      </c>
      <c r="AF112" s="246"/>
      <c r="AG112" s="66" t="s">
        <v>127</v>
      </c>
      <c r="AH112" s="55"/>
      <c r="AI112" s="245">
        <v>8.4</v>
      </c>
      <c r="AJ112" s="246">
        <v>8.6</v>
      </c>
      <c r="AK112" s="245"/>
      <c r="AL112" s="245">
        <v>7.9</v>
      </c>
      <c r="AM112" s="246">
        <v>8.1999999999999993</v>
      </c>
      <c r="AN112" s="245"/>
      <c r="AO112" s="245">
        <v>11.1</v>
      </c>
      <c r="AP112" s="246">
        <v>17.399999999999999</v>
      </c>
      <c r="AQ112" s="245"/>
      <c r="AR112" s="245">
        <v>8.6</v>
      </c>
      <c r="AS112" s="246">
        <v>9.4</v>
      </c>
    </row>
    <row r="113" spans="3:45" x14ac:dyDescent="0.25">
      <c r="C113" s="20"/>
      <c r="D113" s="20">
        <f t="shared" si="2"/>
        <v>101</v>
      </c>
      <c r="E113" s="66"/>
      <c r="F113" s="55"/>
      <c r="G113" s="245"/>
      <c r="H113" s="247"/>
      <c r="I113" s="245"/>
      <c r="J113" s="245"/>
      <c r="K113" s="247"/>
      <c r="L113" s="245"/>
      <c r="M113" s="245"/>
      <c r="N113" s="247"/>
      <c r="O113" s="245"/>
      <c r="P113" s="245"/>
      <c r="Q113" s="247"/>
      <c r="S113" s="66"/>
      <c r="T113" s="55"/>
      <c r="U113" s="245"/>
      <c r="V113" s="245"/>
      <c r="W113" s="247"/>
      <c r="X113" s="245"/>
      <c r="Y113" s="245"/>
      <c r="Z113" s="247"/>
      <c r="AA113" s="245"/>
      <c r="AB113" s="245"/>
      <c r="AC113" s="247"/>
      <c r="AD113" s="245"/>
      <c r="AE113" s="245"/>
      <c r="AF113" s="247"/>
      <c r="AG113" s="66"/>
      <c r="AH113" s="55"/>
      <c r="AI113" s="245"/>
      <c r="AJ113" s="247"/>
      <c r="AK113" s="245"/>
      <c r="AL113" s="245"/>
      <c r="AM113" s="247"/>
      <c r="AN113" s="245"/>
      <c r="AO113" s="245"/>
      <c r="AP113" s="247"/>
      <c r="AQ113" s="245"/>
      <c r="AR113" s="245"/>
      <c r="AS113" s="247"/>
    </row>
    <row r="114" spans="3:45" x14ac:dyDescent="0.25">
      <c r="C114" s="20"/>
      <c r="D114" s="20">
        <f t="shared" si="2"/>
        <v>102</v>
      </c>
      <c r="E114" s="67" t="s">
        <v>45</v>
      </c>
      <c r="F114" s="55"/>
      <c r="G114" s="245">
        <v>12.4</v>
      </c>
      <c r="H114" s="246">
        <v>13.5</v>
      </c>
      <c r="I114" s="245"/>
      <c r="J114" s="245">
        <v>8.5</v>
      </c>
      <c r="K114" s="246">
        <v>7.7</v>
      </c>
      <c r="L114" s="245"/>
      <c r="M114" s="245">
        <v>12.9</v>
      </c>
      <c r="N114" s="246">
        <v>16</v>
      </c>
      <c r="O114" s="245"/>
      <c r="P114" s="245">
        <v>11.8</v>
      </c>
      <c r="Q114" s="246">
        <v>12.6</v>
      </c>
      <c r="S114" s="67" t="s">
        <v>45</v>
      </c>
      <c r="T114" s="55"/>
      <c r="U114" s="252">
        <v>10.3</v>
      </c>
      <c r="V114" s="245">
        <v>13.6</v>
      </c>
      <c r="W114" s="246"/>
      <c r="X114" s="245" t="s">
        <v>52</v>
      </c>
      <c r="Y114" s="245" t="s">
        <v>52</v>
      </c>
      <c r="Z114" s="246"/>
      <c r="AA114" s="245" t="s">
        <v>52</v>
      </c>
      <c r="AB114" s="245" t="s">
        <v>52</v>
      </c>
      <c r="AC114" s="246"/>
      <c r="AD114" s="245">
        <v>8.8000000000000007</v>
      </c>
      <c r="AE114" s="245">
        <v>10.8</v>
      </c>
      <c r="AF114" s="246"/>
      <c r="AG114" s="67" t="s">
        <v>45</v>
      </c>
      <c r="AH114" s="55"/>
      <c r="AI114" s="245">
        <v>14</v>
      </c>
      <c r="AJ114" s="246">
        <v>13.4</v>
      </c>
      <c r="AK114" s="245"/>
      <c r="AL114" s="245">
        <v>11.9</v>
      </c>
      <c r="AM114" s="246">
        <v>12.4</v>
      </c>
      <c r="AN114" s="245"/>
      <c r="AO114" s="245">
        <v>17.899999999999999</v>
      </c>
      <c r="AP114" s="246">
        <v>20.8</v>
      </c>
      <c r="AQ114" s="245"/>
      <c r="AR114" s="245">
        <v>14.1</v>
      </c>
      <c r="AS114" s="246">
        <v>13.9</v>
      </c>
    </row>
    <row r="115" spans="3:45" x14ac:dyDescent="0.25">
      <c r="C115" s="20"/>
      <c r="D115" s="20">
        <f t="shared" si="2"/>
        <v>103</v>
      </c>
      <c r="E115" s="67"/>
      <c r="F115" s="55"/>
      <c r="G115" s="80"/>
      <c r="H115" s="248"/>
      <c r="I115" s="80"/>
      <c r="J115" s="80"/>
      <c r="K115" s="248"/>
      <c r="L115" s="80"/>
      <c r="M115" s="80"/>
      <c r="N115" s="248"/>
      <c r="O115" s="80"/>
      <c r="P115" s="80"/>
      <c r="Q115" s="248"/>
      <c r="S115" s="67"/>
      <c r="T115" s="55"/>
      <c r="U115" s="253"/>
      <c r="V115" s="80"/>
      <c r="W115" s="248"/>
      <c r="X115" s="80"/>
      <c r="Y115" s="80"/>
      <c r="Z115" s="248"/>
      <c r="AA115" s="80"/>
      <c r="AB115" s="80"/>
      <c r="AC115" s="248"/>
      <c r="AD115" s="80"/>
      <c r="AE115" s="80"/>
      <c r="AF115" s="248"/>
      <c r="AG115" s="67"/>
      <c r="AH115" s="55"/>
      <c r="AI115" s="80"/>
      <c r="AJ115" s="248"/>
      <c r="AK115" s="80"/>
      <c r="AL115" s="80"/>
      <c r="AM115" s="248"/>
      <c r="AN115" s="80"/>
      <c r="AO115" s="80"/>
      <c r="AP115" s="248"/>
      <c r="AQ115" s="80"/>
      <c r="AR115" s="80"/>
      <c r="AS115" s="248"/>
    </row>
    <row r="116" spans="3:45" x14ac:dyDescent="0.25">
      <c r="C116" s="20"/>
      <c r="D116" s="20">
        <f t="shared" si="2"/>
        <v>104</v>
      </c>
      <c r="E116" s="67" t="s">
        <v>75</v>
      </c>
      <c r="F116" s="55"/>
      <c r="G116" s="245" t="s">
        <v>52</v>
      </c>
      <c r="H116" s="246">
        <v>2.2000000000000002</v>
      </c>
      <c r="I116" s="245"/>
      <c r="J116" s="245" t="s">
        <v>52</v>
      </c>
      <c r="K116" s="246" t="s">
        <v>52</v>
      </c>
      <c r="L116" s="245"/>
      <c r="M116" s="245" t="s">
        <v>52</v>
      </c>
      <c r="N116" s="246" t="s">
        <v>52</v>
      </c>
      <c r="O116" s="245"/>
      <c r="P116" s="245" t="s">
        <v>52</v>
      </c>
      <c r="Q116" s="246">
        <v>2</v>
      </c>
      <c r="S116" s="67" t="s">
        <v>75</v>
      </c>
      <c r="T116" s="55"/>
      <c r="U116" s="252" t="s">
        <v>52</v>
      </c>
      <c r="V116" s="245">
        <v>2.1</v>
      </c>
      <c r="W116" s="246"/>
      <c r="X116" s="245" t="s">
        <v>52</v>
      </c>
      <c r="Y116" s="245" t="s">
        <v>52</v>
      </c>
      <c r="Z116" s="246"/>
      <c r="AA116" s="245" t="s">
        <v>52</v>
      </c>
      <c r="AB116" s="245" t="s">
        <v>52</v>
      </c>
      <c r="AC116" s="246"/>
      <c r="AD116" s="245" t="s">
        <v>52</v>
      </c>
      <c r="AE116" s="245">
        <v>1.6</v>
      </c>
      <c r="AF116" s="246"/>
      <c r="AG116" s="67" t="s">
        <v>75</v>
      </c>
      <c r="AH116" s="55"/>
      <c r="AI116" s="245" t="s">
        <v>52</v>
      </c>
      <c r="AJ116" s="246">
        <v>2.4</v>
      </c>
      <c r="AK116" s="245"/>
      <c r="AL116" s="245" t="s">
        <v>52</v>
      </c>
      <c r="AM116" s="246" t="s">
        <v>52</v>
      </c>
      <c r="AN116" s="245"/>
      <c r="AO116" s="245" t="s">
        <v>52</v>
      </c>
      <c r="AP116" s="246" t="s">
        <v>52</v>
      </c>
      <c r="AQ116" s="245"/>
      <c r="AR116" s="245" t="s">
        <v>52</v>
      </c>
      <c r="AS116" s="246">
        <v>2.6</v>
      </c>
    </row>
    <row r="117" spans="3:45" x14ac:dyDescent="0.25">
      <c r="C117" s="20"/>
      <c r="D117" s="20">
        <f t="shared" si="2"/>
        <v>105</v>
      </c>
      <c r="E117" s="67" t="s">
        <v>128</v>
      </c>
      <c r="F117" s="67"/>
      <c r="G117" s="245" t="s">
        <v>52</v>
      </c>
      <c r="H117" s="246" t="s">
        <v>52</v>
      </c>
      <c r="I117" s="245"/>
      <c r="J117" s="245" t="s">
        <v>52</v>
      </c>
      <c r="K117" s="246" t="s">
        <v>52</v>
      </c>
      <c r="L117" s="245"/>
      <c r="M117" s="245" t="s">
        <v>52</v>
      </c>
      <c r="N117" s="246" t="s">
        <v>52</v>
      </c>
      <c r="O117" s="245"/>
      <c r="P117" s="245" t="s">
        <v>52</v>
      </c>
      <c r="Q117" s="246" t="s">
        <v>52</v>
      </c>
      <c r="S117" s="67" t="s">
        <v>128</v>
      </c>
      <c r="T117" s="67"/>
      <c r="U117" s="252" t="s">
        <v>52</v>
      </c>
      <c r="V117" s="245" t="s">
        <v>52</v>
      </c>
      <c r="W117" s="246"/>
      <c r="X117" s="245" t="s">
        <v>52</v>
      </c>
      <c r="Y117" s="245" t="s">
        <v>52</v>
      </c>
      <c r="Z117" s="246"/>
      <c r="AA117" s="245" t="s">
        <v>52</v>
      </c>
      <c r="AB117" s="245" t="s">
        <v>52</v>
      </c>
      <c r="AC117" s="246"/>
      <c r="AD117" s="245" t="s">
        <v>52</v>
      </c>
      <c r="AE117" s="245" t="s">
        <v>52</v>
      </c>
      <c r="AF117" s="246"/>
      <c r="AG117" s="67" t="s">
        <v>128</v>
      </c>
      <c r="AH117" s="67"/>
      <c r="AI117" s="245" t="s">
        <v>52</v>
      </c>
      <c r="AJ117" s="246" t="s">
        <v>52</v>
      </c>
      <c r="AK117" s="245"/>
      <c r="AL117" s="245" t="s">
        <v>52</v>
      </c>
      <c r="AM117" s="246" t="s">
        <v>52</v>
      </c>
      <c r="AN117" s="245"/>
      <c r="AO117" s="245" t="s">
        <v>52</v>
      </c>
      <c r="AP117" s="246" t="s">
        <v>52</v>
      </c>
      <c r="AQ117" s="245"/>
      <c r="AR117" s="245" t="s">
        <v>52</v>
      </c>
      <c r="AS117" s="246" t="s">
        <v>52</v>
      </c>
    </row>
    <row r="118" spans="3:45" x14ac:dyDescent="0.25">
      <c r="C118" s="20"/>
      <c r="D118" s="20">
        <f t="shared" si="2"/>
        <v>106</v>
      </c>
      <c r="E118" s="72" t="s">
        <v>129</v>
      </c>
      <c r="F118" s="72"/>
      <c r="G118" s="249" t="s">
        <v>52</v>
      </c>
      <c r="H118" s="246">
        <v>4.3</v>
      </c>
      <c r="I118" s="249"/>
      <c r="J118" s="249" t="s">
        <v>52</v>
      </c>
      <c r="K118" s="246" t="s">
        <v>52</v>
      </c>
      <c r="L118" s="249"/>
      <c r="M118" s="249" t="s">
        <v>52</v>
      </c>
      <c r="N118" s="246" t="s">
        <v>52</v>
      </c>
      <c r="O118" s="249"/>
      <c r="P118" s="249" t="s">
        <v>52</v>
      </c>
      <c r="Q118" s="246">
        <v>3.9</v>
      </c>
      <c r="S118" s="72" t="s">
        <v>129</v>
      </c>
      <c r="T118" s="72"/>
      <c r="U118" s="73" t="s">
        <v>52</v>
      </c>
      <c r="V118" s="249">
        <v>4.0999999999999996</v>
      </c>
      <c r="W118" s="246"/>
      <c r="X118" s="249" t="s">
        <v>52</v>
      </c>
      <c r="Y118" s="249" t="s">
        <v>52</v>
      </c>
      <c r="Z118" s="246"/>
      <c r="AA118" s="249" t="s">
        <v>52</v>
      </c>
      <c r="AB118" s="249" t="s">
        <v>52</v>
      </c>
      <c r="AC118" s="246"/>
      <c r="AD118" s="249" t="s">
        <v>52</v>
      </c>
      <c r="AE118" s="249">
        <v>3.3</v>
      </c>
      <c r="AF118" s="246"/>
      <c r="AG118" s="72" t="s">
        <v>129</v>
      </c>
      <c r="AH118" s="72"/>
      <c r="AI118" s="249" t="s">
        <v>52</v>
      </c>
      <c r="AJ118" s="246">
        <v>4.5999999999999996</v>
      </c>
      <c r="AK118" s="249"/>
      <c r="AL118" s="249" t="s">
        <v>52</v>
      </c>
      <c r="AM118" s="246" t="s">
        <v>52</v>
      </c>
      <c r="AN118" s="249"/>
      <c r="AO118" s="249" t="s">
        <v>52</v>
      </c>
      <c r="AP118" s="246" t="s">
        <v>52</v>
      </c>
      <c r="AQ118" s="249"/>
      <c r="AR118" s="249" t="s">
        <v>52</v>
      </c>
      <c r="AS118" s="246">
        <v>4.5</v>
      </c>
    </row>
    <row r="119" spans="3:45" x14ac:dyDescent="0.25">
      <c r="D119" s="20">
        <f t="shared" si="2"/>
        <v>107</v>
      </c>
      <c r="E119" s="74"/>
      <c r="F119" s="31"/>
      <c r="G119" s="31"/>
      <c r="H119" s="31"/>
      <c r="I119" s="31"/>
      <c r="J119" s="31"/>
      <c r="K119" s="31"/>
      <c r="L119" s="31"/>
      <c r="M119" s="31"/>
      <c r="N119" s="49"/>
      <c r="O119" s="31"/>
      <c r="P119" s="31"/>
      <c r="Q119" s="49" t="s">
        <v>120</v>
      </c>
      <c r="S119" s="74"/>
      <c r="T119" s="31"/>
      <c r="U119" s="31"/>
      <c r="V119" s="31"/>
      <c r="W119" s="31"/>
      <c r="X119" s="31"/>
      <c r="Y119" s="31"/>
      <c r="Z119" s="31"/>
      <c r="AA119" s="31"/>
      <c r="AB119" s="49"/>
      <c r="AC119" s="31"/>
      <c r="AD119" s="31"/>
      <c r="AE119" s="49" t="s">
        <v>120</v>
      </c>
      <c r="AG119" s="74"/>
      <c r="AH119" s="31"/>
      <c r="AI119" s="31"/>
      <c r="AJ119" s="31"/>
      <c r="AK119" s="31"/>
      <c r="AL119" s="31"/>
      <c r="AM119" s="31"/>
      <c r="AN119" s="31"/>
      <c r="AO119" s="31"/>
      <c r="AP119" s="49"/>
      <c r="AQ119" s="31"/>
      <c r="AR119" s="31"/>
      <c r="AS119" s="49" t="s">
        <v>120</v>
      </c>
    </row>
    <row r="120" spans="3:45" x14ac:dyDescent="0.25">
      <c r="D120" s="20">
        <f t="shared" si="2"/>
        <v>108</v>
      </c>
      <c r="E120" s="160"/>
      <c r="F120" s="31"/>
      <c r="G120" s="31"/>
      <c r="H120" s="31"/>
      <c r="I120" s="31"/>
      <c r="J120" s="31"/>
      <c r="K120" s="31"/>
      <c r="L120" s="31"/>
      <c r="M120" s="31"/>
      <c r="N120" s="49"/>
      <c r="O120" s="31"/>
      <c r="P120" s="31"/>
      <c r="Q120" s="31"/>
      <c r="S120" s="160"/>
      <c r="T120" s="31"/>
      <c r="U120" s="31"/>
      <c r="V120" s="31"/>
      <c r="W120" s="31"/>
      <c r="X120" s="31"/>
      <c r="Y120" s="31"/>
      <c r="Z120" s="31"/>
      <c r="AA120" s="31"/>
      <c r="AB120" s="49"/>
      <c r="AC120" s="31"/>
      <c r="AD120" s="31"/>
      <c r="AE120" s="31"/>
      <c r="AG120" s="160"/>
      <c r="AH120" s="31"/>
      <c r="AI120" s="31"/>
      <c r="AJ120" s="31"/>
      <c r="AK120" s="31"/>
      <c r="AL120" s="31"/>
      <c r="AM120" s="31"/>
      <c r="AN120" s="31"/>
      <c r="AO120" s="31"/>
      <c r="AP120" s="49"/>
      <c r="AQ120" s="31"/>
      <c r="AR120" s="31"/>
      <c r="AS120" s="31"/>
    </row>
    <row r="121" spans="3:45" x14ac:dyDescent="0.25">
      <c r="D121" s="20">
        <f t="shared" si="2"/>
        <v>109</v>
      </c>
      <c r="E121" s="51"/>
      <c r="F121" s="51"/>
      <c r="G121" s="51"/>
      <c r="H121" s="51"/>
      <c r="I121" s="51"/>
      <c r="J121" s="51"/>
      <c r="K121" s="51"/>
      <c r="L121" s="51"/>
      <c r="M121" s="51"/>
      <c r="N121" s="51"/>
      <c r="O121" s="51"/>
      <c r="P121" s="51"/>
      <c r="Q121" s="51"/>
      <c r="S121" s="51"/>
      <c r="T121" s="51"/>
      <c r="U121" s="51"/>
      <c r="V121" s="51"/>
      <c r="W121" s="51"/>
      <c r="X121" s="51"/>
      <c r="Y121" s="51"/>
      <c r="Z121" s="51"/>
      <c r="AA121" s="51"/>
      <c r="AB121" s="51"/>
      <c r="AC121" s="51"/>
      <c r="AD121" s="51"/>
      <c r="AE121" s="51"/>
      <c r="AG121" s="51"/>
      <c r="AH121" s="51"/>
      <c r="AI121" s="51"/>
      <c r="AJ121" s="51"/>
      <c r="AK121" s="51"/>
      <c r="AL121" s="51"/>
      <c r="AM121" s="51"/>
      <c r="AN121" s="51"/>
      <c r="AO121" s="51"/>
      <c r="AP121" s="51"/>
      <c r="AQ121" s="51"/>
      <c r="AR121" s="51"/>
      <c r="AS121" s="51"/>
    </row>
    <row r="122" spans="3:45" x14ac:dyDescent="0.25">
      <c r="D122" s="20">
        <f t="shared" si="2"/>
        <v>110</v>
      </c>
      <c r="E122" s="51"/>
      <c r="F122" s="51"/>
      <c r="G122" s="51"/>
      <c r="H122" s="51"/>
      <c r="I122" s="51"/>
      <c r="J122" s="51"/>
      <c r="K122" s="51"/>
      <c r="L122" s="51"/>
      <c r="M122" s="51"/>
      <c r="N122" s="51"/>
      <c r="O122" s="51"/>
      <c r="P122" s="51"/>
      <c r="Q122" s="51"/>
      <c r="S122" s="51"/>
      <c r="T122" s="51"/>
      <c r="U122" s="51"/>
      <c r="V122" s="51"/>
      <c r="W122" s="51"/>
      <c r="X122" s="51"/>
      <c r="Y122" s="51"/>
      <c r="Z122" s="51"/>
      <c r="AA122" s="51"/>
      <c r="AB122" s="51"/>
      <c r="AC122" s="51"/>
      <c r="AD122" s="51"/>
      <c r="AE122" s="51"/>
      <c r="AG122" s="51"/>
      <c r="AH122" s="51"/>
      <c r="AI122" s="51"/>
      <c r="AJ122" s="51"/>
      <c r="AK122" s="51"/>
      <c r="AL122" s="51"/>
      <c r="AM122" s="51"/>
      <c r="AN122" s="51"/>
      <c r="AO122" s="51"/>
      <c r="AP122" s="51"/>
      <c r="AQ122" s="51"/>
      <c r="AR122" s="51"/>
      <c r="AS122" s="51"/>
    </row>
    <row r="123" spans="3:45" x14ac:dyDescent="0.25">
      <c r="D123" s="20">
        <f t="shared" si="2"/>
        <v>111</v>
      </c>
      <c r="E123" s="51"/>
      <c r="F123" s="51"/>
      <c r="G123" s="51"/>
      <c r="H123" s="51"/>
      <c r="I123" s="51"/>
      <c r="J123" s="51"/>
      <c r="K123" s="51"/>
      <c r="L123" s="51"/>
      <c r="M123" s="85"/>
      <c r="N123" s="85"/>
      <c r="O123" s="51"/>
      <c r="P123" s="51"/>
      <c r="Q123" s="51"/>
      <c r="S123" s="51"/>
      <c r="T123" s="51"/>
      <c r="U123" s="51"/>
      <c r="V123" s="51"/>
      <c r="W123" s="51"/>
      <c r="X123" s="51"/>
      <c r="Y123" s="51"/>
      <c r="Z123" s="51"/>
      <c r="AA123" s="85"/>
      <c r="AB123" s="85"/>
      <c r="AC123" s="51"/>
      <c r="AD123" s="51"/>
      <c r="AE123" s="51"/>
      <c r="AG123" s="51"/>
      <c r="AH123" s="51"/>
      <c r="AI123" s="51"/>
      <c r="AJ123" s="51"/>
      <c r="AK123" s="51"/>
      <c r="AL123" s="51"/>
      <c r="AM123" s="51"/>
      <c r="AN123" s="51"/>
      <c r="AO123" s="85"/>
      <c r="AP123" s="85"/>
      <c r="AQ123" s="51"/>
      <c r="AR123" s="51"/>
      <c r="AS123" s="51"/>
    </row>
    <row r="124" spans="3:45" x14ac:dyDescent="0.25">
      <c r="D124" s="20">
        <f t="shared" si="2"/>
        <v>112</v>
      </c>
      <c r="E124" s="51"/>
      <c r="F124" s="51"/>
      <c r="G124" s="51"/>
      <c r="H124" s="51"/>
      <c r="I124" s="51"/>
      <c r="J124" s="51"/>
      <c r="K124" s="50"/>
      <c r="L124" s="51"/>
      <c r="M124" s="85"/>
      <c r="N124" s="85"/>
      <c r="O124" s="51"/>
      <c r="P124" s="51"/>
      <c r="Q124" s="51"/>
      <c r="S124" s="51"/>
      <c r="T124" s="51"/>
      <c r="U124" s="51"/>
      <c r="V124" s="51"/>
      <c r="W124" s="51"/>
      <c r="X124" s="51"/>
      <c r="Y124" s="50"/>
      <c r="Z124" s="51"/>
      <c r="AA124" s="85"/>
      <c r="AB124" s="85"/>
      <c r="AC124" s="51"/>
      <c r="AD124" s="51"/>
      <c r="AE124" s="51"/>
      <c r="AG124" s="51"/>
      <c r="AH124" s="51"/>
      <c r="AI124" s="51"/>
      <c r="AJ124" s="51"/>
      <c r="AK124" s="51"/>
      <c r="AL124" s="51"/>
      <c r="AM124" s="50"/>
      <c r="AN124" s="51"/>
      <c r="AO124" s="85"/>
      <c r="AP124" s="85"/>
      <c r="AQ124" s="51"/>
      <c r="AR124" s="51"/>
      <c r="AS124" s="51"/>
    </row>
    <row r="125" spans="3:45" x14ac:dyDescent="0.25">
      <c r="D125" s="20">
        <f t="shared" si="2"/>
        <v>113</v>
      </c>
      <c r="E125" s="103"/>
      <c r="F125" s="103"/>
      <c r="G125" s="51"/>
      <c r="H125" s="85"/>
      <c r="I125" s="85"/>
      <c r="J125" s="85"/>
      <c r="K125" s="85"/>
      <c r="L125" s="85"/>
      <c r="M125" s="51"/>
      <c r="N125" s="51"/>
      <c r="O125" s="51"/>
      <c r="P125" s="51"/>
      <c r="Q125" s="51"/>
      <c r="S125" s="103"/>
      <c r="T125" s="103"/>
      <c r="U125" s="51"/>
      <c r="V125" s="85"/>
      <c r="W125" s="85"/>
      <c r="X125" s="85"/>
      <c r="Y125" s="85"/>
      <c r="Z125" s="85"/>
      <c r="AA125" s="51"/>
      <c r="AB125" s="51"/>
      <c r="AC125" s="51"/>
      <c r="AD125" s="51"/>
      <c r="AE125" s="51"/>
      <c r="AG125" s="103"/>
      <c r="AH125" s="103"/>
      <c r="AI125" s="51"/>
      <c r="AJ125" s="85"/>
      <c r="AK125" s="85"/>
      <c r="AL125" s="85"/>
      <c r="AM125" s="85"/>
      <c r="AN125" s="85"/>
      <c r="AO125" s="51"/>
      <c r="AP125" s="51"/>
      <c r="AQ125" s="51"/>
      <c r="AR125" s="51"/>
      <c r="AS125" s="51"/>
    </row>
    <row r="126" spans="3:45" x14ac:dyDescent="0.25">
      <c r="D126" s="20">
        <f t="shared" si="2"/>
        <v>114</v>
      </c>
      <c r="E126" s="103"/>
      <c r="F126" s="103"/>
      <c r="G126" s="51"/>
      <c r="H126" s="85"/>
      <c r="I126" s="85"/>
      <c r="J126" s="85"/>
      <c r="K126" s="85"/>
      <c r="L126" s="85"/>
      <c r="M126" s="51"/>
      <c r="N126" s="51"/>
      <c r="O126" s="51"/>
      <c r="P126" s="51"/>
      <c r="Q126" s="51"/>
      <c r="S126" s="103"/>
      <c r="T126" s="103"/>
      <c r="U126" s="51"/>
      <c r="V126" s="85"/>
      <c r="W126" s="85"/>
      <c r="X126" s="85"/>
      <c r="Y126" s="85"/>
      <c r="Z126" s="85"/>
      <c r="AA126" s="51"/>
      <c r="AB126" s="51"/>
      <c r="AC126" s="51"/>
      <c r="AD126" s="51"/>
      <c r="AE126" s="51"/>
      <c r="AG126" s="103"/>
      <c r="AH126" s="103"/>
      <c r="AI126" s="51"/>
      <c r="AJ126" s="85"/>
      <c r="AK126" s="85"/>
      <c r="AL126" s="85"/>
      <c r="AM126" s="85"/>
      <c r="AN126" s="85"/>
      <c r="AO126" s="51"/>
      <c r="AP126" s="51"/>
      <c r="AQ126" s="51"/>
      <c r="AR126" s="51"/>
      <c r="AS126" s="51"/>
    </row>
    <row r="127" spans="3:45" x14ac:dyDescent="0.25">
      <c r="D127" s="20">
        <f t="shared" si="2"/>
        <v>115</v>
      </c>
      <c r="E127" s="103"/>
      <c r="F127" s="51"/>
      <c r="G127" s="51"/>
      <c r="H127" s="51"/>
      <c r="I127" s="51"/>
      <c r="J127" s="51"/>
      <c r="K127" s="51"/>
      <c r="L127" s="51"/>
      <c r="M127" s="51"/>
      <c r="N127" s="51"/>
      <c r="O127" s="51"/>
      <c r="P127" s="51"/>
      <c r="Q127" s="51"/>
      <c r="S127" s="103"/>
      <c r="T127" s="51"/>
      <c r="U127" s="51"/>
      <c r="V127" s="51"/>
      <c r="W127" s="51"/>
      <c r="X127" s="51"/>
      <c r="Y127" s="51"/>
      <c r="Z127" s="51"/>
      <c r="AA127" s="51"/>
      <c r="AB127" s="51"/>
      <c r="AC127" s="51"/>
      <c r="AD127" s="51"/>
      <c r="AE127" s="51"/>
      <c r="AG127" s="103"/>
      <c r="AH127" s="51"/>
      <c r="AI127" s="51"/>
      <c r="AJ127" s="51"/>
      <c r="AK127" s="51"/>
      <c r="AL127" s="51"/>
      <c r="AM127" s="51"/>
      <c r="AN127" s="51"/>
      <c r="AO127" s="51"/>
      <c r="AP127" s="51"/>
      <c r="AQ127" s="51"/>
      <c r="AR127" s="51"/>
      <c r="AS127" s="51"/>
    </row>
    <row r="128" spans="3:45" x14ac:dyDescent="0.25">
      <c r="D128" s="20">
        <f t="shared" si="2"/>
        <v>116</v>
      </c>
      <c r="E128" s="103"/>
      <c r="F128" s="51"/>
      <c r="G128" s="51"/>
      <c r="H128" s="51"/>
      <c r="I128" s="51"/>
      <c r="J128" s="51"/>
      <c r="K128" s="51"/>
      <c r="L128" s="51"/>
      <c r="M128" s="51"/>
      <c r="N128" s="51"/>
      <c r="O128" s="51"/>
      <c r="P128" s="51"/>
      <c r="Q128" s="51"/>
      <c r="S128" s="103"/>
      <c r="T128" s="51"/>
      <c r="U128" s="51"/>
      <c r="V128" s="51"/>
      <c r="W128" s="51"/>
      <c r="X128" s="51"/>
      <c r="Y128" s="51"/>
      <c r="Z128" s="51"/>
      <c r="AA128" s="51"/>
      <c r="AB128" s="51"/>
      <c r="AC128" s="51"/>
      <c r="AD128" s="51"/>
      <c r="AE128" s="51"/>
      <c r="AG128" s="103"/>
      <c r="AH128" s="51"/>
      <c r="AI128" s="51"/>
      <c r="AJ128" s="51"/>
      <c r="AK128" s="51"/>
      <c r="AL128" s="51"/>
      <c r="AM128" s="51"/>
      <c r="AN128" s="51"/>
      <c r="AO128" s="51"/>
      <c r="AP128" s="51"/>
      <c r="AQ128" s="51"/>
      <c r="AR128" s="51"/>
      <c r="AS128" s="51"/>
    </row>
    <row r="129" spans="4:45" x14ac:dyDescent="0.25">
      <c r="D129" s="20">
        <f t="shared" si="2"/>
        <v>117</v>
      </c>
      <c r="E129" s="103"/>
      <c r="F129" s="51"/>
      <c r="G129" s="82"/>
      <c r="H129" s="82"/>
      <c r="I129" s="82"/>
      <c r="J129" s="51"/>
      <c r="K129" s="51"/>
      <c r="L129" s="82"/>
      <c r="M129" s="51"/>
      <c r="N129" s="51"/>
      <c r="O129" s="51"/>
      <c r="P129" s="51"/>
      <c r="Q129" s="51"/>
      <c r="S129" s="103"/>
      <c r="T129" s="51"/>
      <c r="U129" s="82"/>
      <c r="V129" s="82"/>
      <c r="W129" s="82"/>
      <c r="X129" s="51"/>
      <c r="Y129" s="51"/>
      <c r="Z129" s="82"/>
      <c r="AA129" s="51"/>
      <c r="AB129" s="51"/>
      <c r="AC129" s="51"/>
      <c r="AD129" s="51"/>
      <c r="AE129" s="51"/>
      <c r="AG129" s="103"/>
      <c r="AH129" s="51"/>
      <c r="AI129" s="82"/>
      <c r="AJ129" s="82"/>
      <c r="AK129" s="82"/>
      <c r="AL129" s="51"/>
      <c r="AM129" s="51"/>
      <c r="AN129" s="82"/>
      <c r="AO129" s="51"/>
      <c r="AP129" s="51"/>
      <c r="AQ129" s="51"/>
      <c r="AR129" s="51"/>
      <c r="AS129" s="51"/>
    </row>
    <row r="130" spans="4:45" x14ac:dyDescent="0.25">
      <c r="D130" s="20">
        <f t="shared" si="2"/>
        <v>118</v>
      </c>
      <c r="E130" s="103"/>
      <c r="F130" s="51"/>
      <c r="G130" s="51"/>
      <c r="H130" s="51"/>
      <c r="I130" s="51"/>
      <c r="J130" s="51"/>
      <c r="K130" s="51"/>
      <c r="L130" s="51"/>
      <c r="M130" s="51"/>
      <c r="N130" s="51"/>
      <c r="O130" s="51"/>
      <c r="P130" s="51"/>
      <c r="Q130" s="51"/>
      <c r="S130" s="103"/>
      <c r="T130" s="51"/>
      <c r="U130" s="51"/>
      <c r="V130" s="51"/>
      <c r="W130" s="51"/>
      <c r="X130" s="51"/>
      <c r="Y130" s="51"/>
      <c r="Z130" s="51"/>
      <c r="AA130" s="51"/>
      <c r="AB130" s="51"/>
      <c r="AC130" s="51"/>
      <c r="AD130" s="51"/>
      <c r="AE130" s="51"/>
      <c r="AG130" s="103"/>
      <c r="AH130" s="51"/>
      <c r="AI130" s="51"/>
      <c r="AJ130" s="51"/>
      <c r="AK130" s="51"/>
      <c r="AL130" s="51"/>
      <c r="AM130" s="51"/>
      <c r="AN130" s="51"/>
      <c r="AO130" s="51"/>
      <c r="AP130" s="51"/>
      <c r="AQ130" s="51"/>
      <c r="AR130" s="51"/>
      <c r="AS130" s="51"/>
    </row>
    <row r="131" spans="4:45" x14ac:dyDescent="0.25">
      <c r="D131" s="20">
        <f t="shared" si="2"/>
        <v>119</v>
      </c>
      <c r="E131" s="51"/>
      <c r="F131" s="40"/>
      <c r="G131" s="51"/>
      <c r="H131" s="51"/>
      <c r="I131" s="51"/>
      <c r="J131" s="51"/>
      <c r="K131" s="51"/>
      <c r="L131" s="51"/>
      <c r="M131" s="51"/>
      <c r="N131" s="51"/>
      <c r="O131" s="51"/>
      <c r="P131" s="51"/>
      <c r="Q131" s="51"/>
      <c r="S131" s="51"/>
      <c r="T131" s="40"/>
      <c r="U131" s="51"/>
      <c r="V131" s="51"/>
      <c r="W131" s="51"/>
      <c r="X131" s="51"/>
      <c r="Y131" s="51"/>
      <c r="Z131" s="51"/>
      <c r="AA131" s="51"/>
      <c r="AB131" s="51"/>
      <c r="AC131" s="51"/>
      <c r="AD131" s="51"/>
      <c r="AE131" s="51"/>
      <c r="AG131" s="51"/>
      <c r="AH131" s="40"/>
      <c r="AI131" s="51"/>
      <c r="AJ131" s="51"/>
      <c r="AK131" s="51"/>
      <c r="AL131" s="51"/>
      <c r="AM131" s="51"/>
      <c r="AN131" s="51"/>
      <c r="AO131" s="51"/>
      <c r="AP131" s="51"/>
      <c r="AQ131" s="51"/>
      <c r="AR131" s="51"/>
      <c r="AS131" s="51"/>
    </row>
    <row r="132" spans="4:45" x14ac:dyDescent="0.25">
      <c r="D132" s="20">
        <f t="shared" si="2"/>
        <v>120</v>
      </c>
      <c r="E132" s="51"/>
      <c r="F132" s="250"/>
      <c r="G132" s="51"/>
      <c r="H132" s="51"/>
      <c r="I132" s="51"/>
      <c r="J132" s="51"/>
      <c r="K132" s="51"/>
      <c r="L132" s="51"/>
      <c r="M132" s="51"/>
      <c r="N132" s="51"/>
      <c r="O132" s="51"/>
      <c r="P132" s="51"/>
      <c r="Q132" s="51"/>
      <c r="S132" s="51"/>
      <c r="T132" s="250"/>
      <c r="U132" s="51"/>
      <c r="V132" s="51"/>
      <c r="W132" s="51"/>
      <c r="X132" s="51"/>
      <c r="Y132" s="51"/>
      <c r="Z132" s="51"/>
      <c r="AA132" s="51"/>
      <c r="AB132" s="51"/>
      <c r="AC132" s="51"/>
      <c r="AD132" s="51"/>
      <c r="AE132" s="51"/>
      <c r="AG132" s="51"/>
      <c r="AH132" s="250"/>
      <c r="AI132" s="51"/>
      <c r="AJ132" s="51"/>
      <c r="AK132" s="51"/>
      <c r="AL132" s="51"/>
      <c r="AM132" s="51"/>
      <c r="AN132" s="51"/>
      <c r="AO132" s="51"/>
      <c r="AP132" s="51"/>
      <c r="AQ132" s="51"/>
      <c r="AR132" s="51"/>
      <c r="AS132" s="51"/>
    </row>
    <row r="133" spans="4:45" x14ac:dyDescent="0.25">
      <c r="D133" s="20">
        <f t="shared" si="2"/>
        <v>121</v>
      </c>
      <c r="E133" s="31"/>
      <c r="F133" s="250"/>
      <c r="G133" s="31"/>
      <c r="H133" s="31"/>
      <c r="I133" s="31"/>
      <c r="J133" s="31"/>
      <c r="K133" s="31"/>
      <c r="L133" s="31"/>
      <c r="M133" s="31"/>
      <c r="N133" s="31"/>
      <c r="O133" s="31"/>
      <c r="P133" s="31"/>
      <c r="Q133" s="31"/>
      <c r="S133" s="31"/>
      <c r="T133" s="250"/>
      <c r="U133" s="31"/>
      <c r="V133" s="31"/>
      <c r="W133" s="31"/>
      <c r="X133" s="31"/>
      <c r="Y133" s="31"/>
      <c r="Z133" s="31"/>
      <c r="AA133" s="31"/>
      <c r="AB133" s="31"/>
      <c r="AC133" s="31"/>
      <c r="AD133" s="31"/>
      <c r="AE133" s="31"/>
      <c r="AG133" s="31"/>
      <c r="AH133" s="250"/>
      <c r="AI133" s="31"/>
      <c r="AJ133" s="31"/>
      <c r="AK133" s="31"/>
      <c r="AL133" s="31"/>
      <c r="AM133" s="31"/>
      <c r="AN133" s="31"/>
      <c r="AO133" s="31"/>
      <c r="AP133" s="31"/>
      <c r="AQ133" s="31"/>
      <c r="AR133" s="31"/>
      <c r="AS133" s="31"/>
    </row>
    <row r="134" spans="4:45" x14ac:dyDescent="0.25">
      <c r="D134" s="20">
        <f t="shared" si="2"/>
        <v>122</v>
      </c>
    </row>
    <row r="135" spans="4:45" x14ac:dyDescent="0.25">
      <c r="D135" s="20">
        <f t="shared" si="2"/>
        <v>123</v>
      </c>
    </row>
  </sheetData>
  <mergeCells count="63">
    <mergeCell ref="N96:Q96"/>
    <mergeCell ref="AB96:AE96"/>
    <mergeCell ref="AP96:AS96"/>
    <mergeCell ref="G99:H99"/>
    <mergeCell ref="J99:K99"/>
    <mergeCell ref="M99:N99"/>
    <mergeCell ref="P99:Q99"/>
    <mergeCell ref="U99:V99"/>
    <mergeCell ref="X99:Y99"/>
    <mergeCell ref="AA99:AB99"/>
    <mergeCell ref="AD99:AE99"/>
    <mergeCell ref="AI99:AJ99"/>
    <mergeCell ref="AL99:AM99"/>
    <mergeCell ref="AO99:AP99"/>
    <mergeCell ref="AR99:AS99"/>
    <mergeCell ref="E93:N93"/>
    <mergeCell ref="S93:AB93"/>
    <mergeCell ref="AG93:AP93"/>
    <mergeCell ref="N95:Q95"/>
    <mergeCell ref="AB95:AE95"/>
    <mergeCell ref="AP95:AS95"/>
    <mergeCell ref="N51:Q51"/>
    <mergeCell ref="AB51:AE51"/>
    <mergeCell ref="AP51:AS51"/>
    <mergeCell ref="AR54:AS54"/>
    <mergeCell ref="G54:H54"/>
    <mergeCell ref="J54:K54"/>
    <mergeCell ref="M54:N54"/>
    <mergeCell ref="P54:Q54"/>
    <mergeCell ref="U54:V54"/>
    <mergeCell ref="X54:Y54"/>
    <mergeCell ref="AA54:AB54"/>
    <mergeCell ref="AD54:AE54"/>
    <mergeCell ref="AI54:AJ54"/>
    <mergeCell ref="AL54:AM54"/>
    <mergeCell ref="AO54:AP54"/>
    <mergeCell ref="N50:Q50"/>
    <mergeCell ref="AB50:AE50"/>
    <mergeCell ref="AP50:AS50"/>
    <mergeCell ref="E48:N48"/>
    <mergeCell ref="S48:AB48"/>
    <mergeCell ref="AG48:AP48"/>
    <mergeCell ref="N6:Q6"/>
    <mergeCell ref="AB6:AE6"/>
    <mergeCell ref="AP6:AS6"/>
    <mergeCell ref="G9:H9"/>
    <mergeCell ref="J9:K9"/>
    <mergeCell ref="M9:N9"/>
    <mergeCell ref="P9:Q9"/>
    <mergeCell ref="U9:V9"/>
    <mergeCell ref="X9:Y9"/>
    <mergeCell ref="AA9:AB9"/>
    <mergeCell ref="AD9:AE9"/>
    <mergeCell ref="AI9:AJ9"/>
    <mergeCell ref="AL9:AM9"/>
    <mergeCell ref="AO9:AP9"/>
    <mergeCell ref="AR9:AS9"/>
    <mergeCell ref="E3:N3"/>
    <mergeCell ref="S3:AB3"/>
    <mergeCell ref="AG3:AP3"/>
    <mergeCell ref="N5:Q5"/>
    <mergeCell ref="AB5:AE5"/>
    <mergeCell ref="AP5:AS5"/>
  </mergeCells>
  <dataValidations count="2">
    <dataValidation type="list" allowBlank="1" showInputMessage="1" showErrorMessage="1" sqref="N6:Q6 N96:Q96 AP96:AS96 AB96:AE96 AP51:AS51 AB51:AE51 N51:Q51 AP6:AS6 AB6:AE6">
      <formula1>$C$41:$C$43</formula1>
    </dataValidation>
    <dataValidation type="list" allowBlank="1" showInputMessage="1" showErrorMessage="1" sqref="N5:Q5 N95:Q95 AP95:AS95 AB95:AE95 AP50:AS50 AB50:AE50 N50:Q50 AP5:AS5 AB5:AE5">
      <formula1>$C$37:$C$39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74"/>
  <sheetViews>
    <sheetView showGridLines="0" zoomScaleNormal="100" workbookViewId="0"/>
  </sheetViews>
  <sheetFormatPr defaultRowHeight="12.75" x14ac:dyDescent="0.2"/>
  <cols>
    <col min="1" max="1" width="6.5703125" style="198" customWidth="1"/>
    <col min="2" max="2" width="43.7109375" style="198" customWidth="1"/>
    <col min="3" max="4" width="11.7109375" style="198" customWidth="1"/>
    <col min="5" max="5" width="3.7109375" style="198" customWidth="1"/>
    <col min="6" max="7" width="11.7109375" style="198" customWidth="1"/>
    <col min="8" max="8" width="3.7109375" style="198" customWidth="1"/>
    <col min="9" max="10" width="11.7109375" style="198" customWidth="1"/>
    <col min="11" max="11" width="3.7109375" style="198" customWidth="1"/>
    <col min="12" max="21" width="11.7109375" style="198" customWidth="1"/>
    <col min="22" max="26" width="9.140625" style="198"/>
    <col min="27" max="27" width="8.7109375" style="208" hidden="1" customWidth="1"/>
    <col min="28" max="28" width="49.140625" style="208" hidden="1" customWidth="1"/>
    <col min="29" max="29" width="7" style="208" hidden="1" customWidth="1"/>
    <col min="30" max="30" width="3" style="208" hidden="1" customWidth="1"/>
    <col min="31" max="227" width="9.140625" style="198"/>
    <col min="228" max="228" width="2" style="198" customWidth="1"/>
    <col min="229" max="229" width="9.140625" style="198"/>
    <col min="230" max="230" width="21.28515625" style="198" customWidth="1"/>
    <col min="231" max="231" width="2.85546875" style="198" customWidth="1"/>
    <col min="232" max="236" width="7.5703125" style="198" bestFit="1" customWidth="1"/>
    <col min="237" max="237" width="2.42578125" style="198" customWidth="1"/>
    <col min="238" max="242" width="7.5703125" style="198" bestFit="1" customWidth="1"/>
    <col min="243" max="243" width="2.42578125" style="198" customWidth="1"/>
    <col min="244" max="248" width="7.5703125" style="198" bestFit="1" customWidth="1"/>
    <col min="249" max="483" width="9.140625" style="198"/>
    <col min="484" max="484" width="2" style="198" customWidth="1"/>
    <col min="485" max="485" width="9.140625" style="198"/>
    <col min="486" max="486" width="21.28515625" style="198" customWidth="1"/>
    <col min="487" max="487" width="2.85546875" style="198" customWidth="1"/>
    <col min="488" max="492" width="7.5703125" style="198" bestFit="1" customWidth="1"/>
    <col min="493" max="493" width="2.42578125" style="198" customWidth="1"/>
    <col min="494" max="498" width="7.5703125" style="198" bestFit="1" customWidth="1"/>
    <col min="499" max="499" width="2.42578125" style="198" customWidth="1"/>
    <col min="500" max="504" width="7.5703125" style="198" bestFit="1" customWidth="1"/>
    <col min="505" max="739" width="9.140625" style="198"/>
    <col min="740" max="740" width="2" style="198" customWidth="1"/>
    <col min="741" max="741" width="9.140625" style="198"/>
    <col min="742" max="742" width="21.28515625" style="198" customWidth="1"/>
    <col min="743" max="743" width="2.85546875" style="198" customWidth="1"/>
    <col min="744" max="748" width="7.5703125" style="198" bestFit="1" customWidth="1"/>
    <col min="749" max="749" width="2.42578125" style="198" customWidth="1"/>
    <col min="750" max="754" width="7.5703125" style="198" bestFit="1" customWidth="1"/>
    <col min="755" max="755" width="2.42578125" style="198" customWidth="1"/>
    <col min="756" max="760" width="7.5703125" style="198" bestFit="1" customWidth="1"/>
    <col min="761" max="995" width="9.140625" style="198"/>
    <col min="996" max="996" width="2" style="198" customWidth="1"/>
    <col min="997" max="997" width="9.140625" style="198"/>
    <col min="998" max="998" width="21.28515625" style="198" customWidth="1"/>
    <col min="999" max="999" width="2.85546875" style="198" customWidth="1"/>
    <col min="1000" max="1004" width="7.5703125" style="198" bestFit="1" customWidth="1"/>
    <col min="1005" max="1005" width="2.42578125" style="198" customWidth="1"/>
    <col min="1006" max="1010" width="7.5703125" style="198" bestFit="1" customWidth="1"/>
    <col min="1011" max="1011" width="2.42578125" style="198" customWidth="1"/>
    <col min="1012" max="1016" width="7.5703125" style="198" bestFit="1" customWidth="1"/>
    <col min="1017" max="1251" width="9.140625" style="198"/>
    <col min="1252" max="1252" width="2" style="198" customWidth="1"/>
    <col min="1253" max="1253" width="9.140625" style="198"/>
    <col min="1254" max="1254" width="21.28515625" style="198" customWidth="1"/>
    <col min="1255" max="1255" width="2.85546875" style="198" customWidth="1"/>
    <col min="1256" max="1260" width="7.5703125" style="198" bestFit="1" customWidth="1"/>
    <col min="1261" max="1261" width="2.42578125" style="198" customWidth="1"/>
    <col min="1262" max="1266" width="7.5703125" style="198" bestFit="1" customWidth="1"/>
    <col min="1267" max="1267" width="2.42578125" style="198" customWidth="1"/>
    <col min="1268" max="1272" width="7.5703125" style="198" bestFit="1" customWidth="1"/>
    <col min="1273" max="1507" width="9.140625" style="198"/>
    <col min="1508" max="1508" width="2" style="198" customWidth="1"/>
    <col min="1509" max="1509" width="9.140625" style="198"/>
    <col min="1510" max="1510" width="21.28515625" style="198" customWidth="1"/>
    <col min="1511" max="1511" width="2.85546875" style="198" customWidth="1"/>
    <col min="1512" max="1516" width="7.5703125" style="198" bestFit="1" customWidth="1"/>
    <col min="1517" max="1517" width="2.42578125" style="198" customWidth="1"/>
    <col min="1518" max="1522" width="7.5703125" style="198" bestFit="1" customWidth="1"/>
    <col min="1523" max="1523" width="2.42578125" style="198" customWidth="1"/>
    <col min="1524" max="1528" width="7.5703125" style="198" bestFit="1" customWidth="1"/>
    <col min="1529" max="1763" width="9.140625" style="198"/>
    <col min="1764" max="1764" width="2" style="198" customWidth="1"/>
    <col min="1765" max="1765" width="9.140625" style="198"/>
    <col min="1766" max="1766" width="21.28515625" style="198" customWidth="1"/>
    <col min="1767" max="1767" width="2.85546875" style="198" customWidth="1"/>
    <col min="1768" max="1772" width="7.5703125" style="198" bestFit="1" customWidth="1"/>
    <col min="1773" max="1773" width="2.42578125" style="198" customWidth="1"/>
    <col min="1774" max="1778" width="7.5703125" style="198" bestFit="1" customWidth="1"/>
    <col min="1779" max="1779" width="2.42578125" style="198" customWidth="1"/>
    <col min="1780" max="1784" width="7.5703125" style="198" bestFit="1" customWidth="1"/>
    <col min="1785" max="2019" width="9.140625" style="198"/>
    <col min="2020" max="2020" width="2" style="198" customWidth="1"/>
    <col min="2021" max="2021" width="9.140625" style="198"/>
    <col min="2022" max="2022" width="21.28515625" style="198" customWidth="1"/>
    <col min="2023" max="2023" width="2.85546875" style="198" customWidth="1"/>
    <col min="2024" max="2028" width="7.5703125" style="198" bestFit="1" customWidth="1"/>
    <col min="2029" max="2029" width="2.42578125" style="198" customWidth="1"/>
    <col min="2030" max="2034" width="7.5703125" style="198" bestFit="1" customWidth="1"/>
    <col min="2035" max="2035" width="2.42578125" style="198" customWidth="1"/>
    <col min="2036" max="2040" width="7.5703125" style="198" bestFit="1" customWidth="1"/>
    <col min="2041" max="2275" width="9.140625" style="198"/>
    <col min="2276" max="2276" width="2" style="198" customWidth="1"/>
    <col min="2277" max="2277" width="9.140625" style="198"/>
    <col min="2278" max="2278" width="21.28515625" style="198" customWidth="1"/>
    <col min="2279" max="2279" width="2.85546875" style="198" customWidth="1"/>
    <col min="2280" max="2284" width="7.5703125" style="198" bestFit="1" customWidth="1"/>
    <col min="2285" max="2285" width="2.42578125" style="198" customWidth="1"/>
    <col min="2286" max="2290" width="7.5703125" style="198" bestFit="1" customWidth="1"/>
    <col min="2291" max="2291" width="2.42578125" style="198" customWidth="1"/>
    <col min="2292" max="2296" width="7.5703125" style="198" bestFit="1" customWidth="1"/>
    <col min="2297" max="2531" width="9.140625" style="198"/>
    <col min="2532" max="2532" width="2" style="198" customWidth="1"/>
    <col min="2533" max="2533" width="9.140625" style="198"/>
    <col min="2534" max="2534" width="21.28515625" style="198" customWidth="1"/>
    <col min="2535" max="2535" width="2.85546875" style="198" customWidth="1"/>
    <col min="2536" max="2540" width="7.5703125" style="198" bestFit="1" customWidth="1"/>
    <col min="2541" max="2541" width="2.42578125" style="198" customWidth="1"/>
    <col min="2542" max="2546" width="7.5703125" style="198" bestFit="1" customWidth="1"/>
    <col min="2547" max="2547" width="2.42578125" style="198" customWidth="1"/>
    <col min="2548" max="2552" width="7.5703125" style="198" bestFit="1" customWidth="1"/>
    <col min="2553" max="2787" width="9.140625" style="198"/>
    <col min="2788" max="2788" width="2" style="198" customWidth="1"/>
    <col min="2789" max="2789" width="9.140625" style="198"/>
    <col min="2790" max="2790" width="21.28515625" style="198" customWidth="1"/>
    <col min="2791" max="2791" width="2.85546875" style="198" customWidth="1"/>
    <col min="2792" max="2796" width="7.5703125" style="198" bestFit="1" customWidth="1"/>
    <col min="2797" max="2797" width="2.42578125" style="198" customWidth="1"/>
    <col min="2798" max="2802" width="7.5703125" style="198" bestFit="1" customWidth="1"/>
    <col min="2803" max="2803" width="2.42578125" style="198" customWidth="1"/>
    <col min="2804" max="2808" width="7.5703125" style="198" bestFit="1" customWidth="1"/>
    <col min="2809" max="3043" width="9.140625" style="198"/>
    <col min="3044" max="3044" width="2" style="198" customWidth="1"/>
    <col min="3045" max="3045" width="9.140625" style="198"/>
    <col min="3046" max="3046" width="21.28515625" style="198" customWidth="1"/>
    <col min="3047" max="3047" width="2.85546875" style="198" customWidth="1"/>
    <col min="3048" max="3052" width="7.5703125" style="198" bestFit="1" customWidth="1"/>
    <col min="3053" max="3053" width="2.42578125" style="198" customWidth="1"/>
    <col min="3054" max="3058" width="7.5703125" style="198" bestFit="1" customWidth="1"/>
    <col min="3059" max="3059" width="2.42578125" style="198" customWidth="1"/>
    <col min="3060" max="3064" width="7.5703125" style="198" bestFit="1" customWidth="1"/>
    <col min="3065" max="3299" width="9.140625" style="198"/>
    <col min="3300" max="3300" width="2" style="198" customWidth="1"/>
    <col min="3301" max="3301" width="9.140625" style="198"/>
    <col min="3302" max="3302" width="21.28515625" style="198" customWidth="1"/>
    <col min="3303" max="3303" width="2.85546875" style="198" customWidth="1"/>
    <col min="3304" max="3308" width="7.5703125" style="198" bestFit="1" customWidth="1"/>
    <col min="3309" max="3309" width="2.42578125" style="198" customWidth="1"/>
    <col min="3310" max="3314" width="7.5703125" style="198" bestFit="1" customWidth="1"/>
    <col min="3315" max="3315" width="2.42578125" style="198" customWidth="1"/>
    <col min="3316" max="3320" width="7.5703125" style="198" bestFit="1" customWidth="1"/>
    <col min="3321" max="3555" width="9.140625" style="198"/>
    <col min="3556" max="3556" width="2" style="198" customWidth="1"/>
    <col min="3557" max="3557" width="9.140625" style="198"/>
    <col min="3558" max="3558" width="21.28515625" style="198" customWidth="1"/>
    <col min="3559" max="3559" width="2.85546875" style="198" customWidth="1"/>
    <col min="3560" max="3564" width="7.5703125" style="198" bestFit="1" customWidth="1"/>
    <col min="3565" max="3565" width="2.42578125" style="198" customWidth="1"/>
    <col min="3566" max="3570" width="7.5703125" style="198" bestFit="1" customWidth="1"/>
    <col min="3571" max="3571" width="2.42578125" style="198" customWidth="1"/>
    <col min="3572" max="3576" width="7.5703125" style="198" bestFit="1" customWidth="1"/>
    <col min="3577" max="3811" width="9.140625" style="198"/>
    <col min="3812" max="3812" width="2" style="198" customWidth="1"/>
    <col min="3813" max="3813" width="9.140625" style="198"/>
    <col min="3814" max="3814" width="21.28515625" style="198" customWidth="1"/>
    <col min="3815" max="3815" width="2.85546875" style="198" customWidth="1"/>
    <col min="3816" max="3820" width="7.5703125" style="198" bestFit="1" customWidth="1"/>
    <col min="3821" max="3821" width="2.42578125" style="198" customWidth="1"/>
    <col min="3822" max="3826" width="7.5703125" style="198" bestFit="1" customWidth="1"/>
    <col min="3827" max="3827" width="2.42578125" style="198" customWidth="1"/>
    <col min="3828" max="3832" width="7.5703125" style="198" bestFit="1" customWidth="1"/>
    <col min="3833" max="4067" width="9.140625" style="198"/>
    <col min="4068" max="4068" width="2" style="198" customWidth="1"/>
    <col min="4069" max="4069" width="9.140625" style="198"/>
    <col min="4070" max="4070" width="21.28515625" style="198" customWidth="1"/>
    <col min="4071" max="4071" width="2.85546875" style="198" customWidth="1"/>
    <col min="4072" max="4076" width="7.5703125" style="198" bestFit="1" customWidth="1"/>
    <col min="4077" max="4077" width="2.42578125" style="198" customWidth="1"/>
    <col min="4078" max="4082" width="7.5703125" style="198" bestFit="1" customWidth="1"/>
    <col min="4083" max="4083" width="2.42578125" style="198" customWidth="1"/>
    <col min="4084" max="4088" width="7.5703125" style="198" bestFit="1" customWidth="1"/>
    <col min="4089" max="4323" width="9.140625" style="198"/>
    <col min="4324" max="4324" width="2" style="198" customWidth="1"/>
    <col min="4325" max="4325" width="9.140625" style="198"/>
    <col min="4326" max="4326" width="21.28515625" style="198" customWidth="1"/>
    <col min="4327" max="4327" width="2.85546875" style="198" customWidth="1"/>
    <col min="4328" max="4332" width="7.5703125" style="198" bestFit="1" customWidth="1"/>
    <col min="4333" max="4333" width="2.42578125" style="198" customWidth="1"/>
    <col min="4334" max="4338" width="7.5703125" style="198" bestFit="1" customWidth="1"/>
    <col min="4339" max="4339" width="2.42578125" style="198" customWidth="1"/>
    <col min="4340" max="4344" width="7.5703125" style="198" bestFit="1" customWidth="1"/>
    <col min="4345" max="4579" width="9.140625" style="198"/>
    <col min="4580" max="4580" width="2" style="198" customWidth="1"/>
    <col min="4581" max="4581" width="9.140625" style="198"/>
    <col min="4582" max="4582" width="21.28515625" style="198" customWidth="1"/>
    <col min="4583" max="4583" width="2.85546875" style="198" customWidth="1"/>
    <col min="4584" max="4588" width="7.5703125" style="198" bestFit="1" customWidth="1"/>
    <col min="4589" max="4589" width="2.42578125" style="198" customWidth="1"/>
    <col min="4590" max="4594" width="7.5703125" style="198" bestFit="1" customWidth="1"/>
    <col min="4595" max="4595" width="2.42578125" style="198" customWidth="1"/>
    <col min="4596" max="4600" width="7.5703125" style="198" bestFit="1" customWidth="1"/>
    <col min="4601" max="4835" width="9.140625" style="198"/>
    <col min="4836" max="4836" width="2" style="198" customWidth="1"/>
    <col min="4837" max="4837" width="9.140625" style="198"/>
    <col min="4838" max="4838" width="21.28515625" style="198" customWidth="1"/>
    <col min="4839" max="4839" width="2.85546875" style="198" customWidth="1"/>
    <col min="4840" max="4844" width="7.5703125" style="198" bestFit="1" customWidth="1"/>
    <col min="4845" max="4845" width="2.42578125" style="198" customWidth="1"/>
    <col min="4846" max="4850" width="7.5703125" style="198" bestFit="1" customWidth="1"/>
    <col min="4851" max="4851" width="2.42578125" style="198" customWidth="1"/>
    <col min="4852" max="4856" width="7.5703125" style="198" bestFit="1" customWidth="1"/>
    <col min="4857" max="5091" width="9.140625" style="198"/>
    <col min="5092" max="5092" width="2" style="198" customWidth="1"/>
    <col min="5093" max="5093" width="9.140625" style="198"/>
    <col min="5094" max="5094" width="21.28515625" style="198" customWidth="1"/>
    <col min="5095" max="5095" width="2.85546875" style="198" customWidth="1"/>
    <col min="5096" max="5100" width="7.5703125" style="198" bestFit="1" customWidth="1"/>
    <col min="5101" max="5101" width="2.42578125" style="198" customWidth="1"/>
    <col min="5102" max="5106" width="7.5703125" style="198" bestFit="1" customWidth="1"/>
    <col min="5107" max="5107" width="2.42578125" style="198" customWidth="1"/>
    <col min="5108" max="5112" width="7.5703125" style="198" bestFit="1" customWidth="1"/>
    <col min="5113" max="5347" width="9.140625" style="198"/>
    <col min="5348" max="5348" width="2" style="198" customWidth="1"/>
    <col min="5349" max="5349" width="9.140625" style="198"/>
    <col min="5350" max="5350" width="21.28515625" style="198" customWidth="1"/>
    <col min="5351" max="5351" width="2.85546875" style="198" customWidth="1"/>
    <col min="5352" max="5356" width="7.5703125" style="198" bestFit="1" customWidth="1"/>
    <col min="5357" max="5357" width="2.42578125" style="198" customWidth="1"/>
    <col min="5358" max="5362" width="7.5703125" style="198" bestFit="1" customWidth="1"/>
    <col min="5363" max="5363" width="2.42578125" style="198" customWidth="1"/>
    <col min="5364" max="5368" width="7.5703125" style="198" bestFit="1" customWidth="1"/>
    <col min="5369" max="5603" width="9.140625" style="198"/>
    <col min="5604" max="5604" width="2" style="198" customWidth="1"/>
    <col min="5605" max="5605" width="9.140625" style="198"/>
    <col min="5606" max="5606" width="21.28515625" style="198" customWidth="1"/>
    <col min="5607" max="5607" width="2.85546875" style="198" customWidth="1"/>
    <col min="5608" max="5612" width="7.5703125" style="198" bestFit="1" customWidth="1"/>
    <col min="5613" max="5613" width="2.42578125" style="198" customWidth="1"/>
    <col min="5614" max="5618" width="7.5703125" style="198" bestFit="1" customWidth="1"/>
    <col min="5619" max="5619" width="2.42578125" style="198" customWidth="1"/>
    <col min="5620" max="5624" width="7.5703125" style="198" bestFit="1" customWidth="1"/>
    <col min="5625" max="5859" width="9.140625" style="198"/>
    <col min="5860" max="5860" width="2" style="198" customWidth="1"/>
    <col min="5861" max="5861" width="9.140625" style="198"/>
    <col min="5862" max="5862" width="21.28515625" style="198" customWidth="1"/>
    <col min="5863" max="5863" width="2.85546875" style="198" customWidth="1"/>
    <col min="5864" max="5868" width="7.5703125" style="198" bestFit="1" customWidth="1"/>
    <col min="5869" max="5869" width="2.42578125" style="198" customWidth="1"/>
    <col min="5870" max="5874" width="7.5703125" style="198" bestFit="1" customWidth="1"/>
    <col min="5875" max="5875" width="2.42578125" style="198" customWidth="1"/>
    <col min="5876" max="5880" width="7.5703125" style="198" bestFit="1" customWidth="1"/>
    <col min="5881" max="6115" width="9.140625" style="198"/>
    <col min="6116" max="6116" width="2" style="198" customWidth="1"/>
    <col min="6117" max="6117" width="9.140625" style="198"/>
    <col min="6118" max="6118" width="21.28515625" style="198" customWidth="1"/>
    <col min="6119" max="6119" width="2.85546875" style="198" customWidth="1"/>
    <col min="6120" max="6124" width="7.5703125" style="198" bestFit="1" customWidth="1"/>
    <col min="6125" max="6125" width="2.42578125" style="198" customWidth="1"/>
    <col min="6126" max="6130" width="7.5703125" style="198" bestFit="1" customWidth="1"/>
    <col min="6131" max="6131" width="2.42578125" style="198" customWidth="1"/>
    <col min="6132" max="6136" width="7.5703125" style="198" bestFit="1" customWidth="1"/>
    <col min="6137" max="6371" width="9.140625" style="198"/>
    <col min="6372" max="6372" width="2" style="198" customWidth="1"/>
    <col min="6373" max="6373" width="9.140625" style="198"/>
    <col min="6374" max="6374" width="21.28515625" style="198" customWidth="1"/>
    <col min="6375" max="6375" width="2.85546875" style="198" customWidth="1"/>
    <col min="6376" max="6380" width="7.5703125" style="198" bestFit="1" customWidth="1"/>
    <col min="6381" max="6381" width="2.42578125" style="198" customWidth="1"/>
    <col min="6382" max="6386" width="7.5703125" style="198" bestFit="1" customWidth="1"/>
    <col min="6387" max="6387" width="2.42578125" style="198" customWidth="1"/>
    <col min="6388" max="6392" width="7.5703125" style="198" bestFit="1" customWidth="1"/>
    <col min="6393" max="6627" width="9.140625" style="198"/>
    <col min="6628" max="6628" width="2" style="198" customWidth="1"/>
    <col min="6629" max="6629" width="9.140625" style="198"/>
    <col min="6630" max="6630" width="21.28515625" style="198" customWidth="1"/>
    <col min="6631" max="6631" width="2.85546875" style="198" customWidth="1"/>
    <col min="6632" max="6636" width="7.5703125" style="198" bestFit="1" customWidth="1"/>
    <col min="6637" max="6637" width="2.42578125" style="198" customWidth="1"/>
    <col min="6638" max="6642" width="7.5703125" style="198" bestFit="1" customWidth="1"/>
    <col min="6643" max="6643" width="2.42578125" style="198" customWidth="1"/>
    <col min="6644" max="6648" width="7.5703125" style="198" bestFit="1" customWidth="1"/>
    <col min="6649" max="6883" width="9.140625" style="198"/>
    <col min="6884" max="6884" width="2" style="198" customWidth="1"/>
    <col min="6885" max="6885" width="9.140625" style="198"/>
    <col min="6886" max="6886" width="21.28515625" style="198" customWidth="1"/>
    <col min="6887" max="6887" width="2.85546875" style="198" customWidth="1"/>
    <col min="6888" max="6892" width="7.5703125" style="198" bestFit="1" customWidth="1"/>
    <col min="6893" max="6893" width="2.42578125" style="198" customWidth="1"/>
    <col min="6894" max="6898" width="7.5703125" style="198" bestFit="1" customWidth="1"/>
    <col min="6899" max="6899" width="2.42578125" style="198" customWidth="1"/>
    <col min="6900" max="6904" width="7.5703125" style="198" bestFit="1" customWidth="1"/>
    <col min="6905" max="7139" width="9.140625" style="198"/>
    <col min="7140" max="7140" width="2" style="198" customWidth="1"/>
    <col min="7141" max="7141" width="9.140625" style="198"/>
    <col min="7142" max="7142" width="21.28515625" style="198" customWidth="1"/>
    <col min="7143" max="7143" width="2.85546875" style="198" customWidth="1"/>
    <col min="7144" max="7148" width="7.5703125" style="198" bestFit="1" customWidth="1"/>
    <col min="7149" max="7149" width="2.42578125" style="198" customWidth="1"/>
    <col min="7150" max="7154" width="7.5703125" style="198" bestFit="1" customWidth="1"/>
    <col min="7155" max="7155" width="2.42578125" style="198" customWidth="1"/>
    <col min="7156" max="7160" width="7.5703125" style="198" bestFit="1" customWidth="1"/>
    <col min="7161" max="7395" width="9.140625" style="198"/>
    <col min="7396" max="7396" width="2" style="198" customWidth="1"/>
    <col min="7397" max="7397" width="9.140625" style="198"/>
    <col min="7398" max="7398" width="21.28515625" style="198" customWidth="1"/>
    <col min="7399" max="7399" width="2.85546875" style="198" customWidth="1"/>
    <col min="7400" max="7404" width="7.5703125" style="198" bestFit="1" customWidth="1"/>
    <col min="7405" max="7405" width="2.42578125" style="198" customWidth="1"/>
    <col min="7406" max="7410" width="7.5703125" style="198" bestFit="1" customWidth="1"/>
    <col min="7411" max="7411" width="2.42578125" style="198" customWidth="1"/>
    <col min="7412" max="7416" width="7.5703125" style="198" bestFit="1" customWidth="1"/>
    <col min="7417" max="7651" width="9.140625" style="198"/>
    <col min="7652" max="7652" width="2" style="198" customWidth="1"/>
    <col min="7653" max="7653" width="9.140625" style="198"/>
    <col min="7654" max="7654" width="21.28515625" style="198" customWidth="1"/>
    <col min="7655" max="7655" width="2.85546875" style="198" customWidth="1"/>
    <col min="7656" max="7660" width="7.5703125" style="198" bestFit="1" customWidth="1"/>
    <col min="7661" max="7661" width="2.42578125" style="198" customWidth="1"/>
    <col min="7662" max="7666" width="7.5703125" style="198" bestFit="1" customWidth="1"/>
    <col min="7667" max="7667" width="2.42578125" style="198" customWidth="1"/>
    <col min="7668" max="7672" width="7.5703125" style="198" bestFit="1" customWidth="1"/>
    <col min="7673" max="7907" width="9.140625" style="198"/>
    <col min="7908" max="7908" width="2" style="198" customWidth="1"/>
    <col min="7909" max="7909" width="9.140625" style="198"/>
    <col min="7910" max="7910" width="21.28515625" style="198" customWidth="1"/>
    <col min="7911" max="7911" width="2.85546875" style="198" customWidth="1"/>
    <col min="7912" max="7916" width="7.5703125" style="198" bestFit="1" customWidth="1"/>
    <col min="7917" max="7917" width="2.42578125" style="198" customWidth="1"/>
    <col min="7918" max="7922" width="7.5703125" style="198" bestFit="1" customWidth="1"/>
    <col min="7923" max="7923" width="2.42578125" style="198" customWidth="1"/>
    <col min="7924" max="7928" width="7.5703125" style="198" bestFit="1" customWidth="1"/>
    <col min="7929" max="8163" width="9.140625" style="198"/>
    <col min="8164" max="8164" width="2" style="198" customWidth="1"/>
    <col min="8165" max="8165" width="9.140625" style="198"/>
    <col min="8166" max="8166" width="21.28515625" style="198" customWidth="1"/>
    <col min="8167" max="8167" width="2.85546875" style="198" customWidth="1"/>
    <col min="8168" max="8172" width="7.5703125" style="198" bestFit="1" customWidth="1"/>
    <col min="8173" max="8173" width="2.42578125" style="198" customWidth="1"/>
    <col min="8174" max="8178" width="7.5703125" style="198" bestFit="1" customWidth="1"/>
    <col min="8179" max="8179" width="2.42578125" style="198" customWidth="1"/>
    <col min="8180" max="8184" width="7.5703125" style="198" bestFit="1" customWidth="1"/>
    <col min="8185" max="8419" width="9.140625" style="198"/>
    <col min="8420" max="8420" width="2" style="198" customWidth="1"/>
    <col min="8421" max="8421" width="9.140625" style="198"/>
    <col min="8422" max="8422" width="21.28515625" style="198" customWidth="1"/>
    <col min="8423" max="8423" width="2.85546875" style="198" customWidth="1"/>
    <col min="8424" max="8428" width="7.5703125" style="198" bestFit="1" customWidth="1"/>
    <col min="8429" max="8429" width="2.42578125" style="198" customWidth="1"/>
    <col min="8430" max="8434" width="7.5703125" style="198" bestFit="1" customWidth="1"/>
    <col min="8435" max="8435" width="2.42578125" style="198" customWidth="1"/>
    <col min="8436" max="8440" width="7.5703125" style="198" bestFit="1" customWidth="1"/>
    <col min="8441" max="8675" width="9.140625" style="198"/>
    <col min="8676" max="8676" width="2" style="198" customWidth="1"/>
    <col min="8677" max="8677" width="9.140625" style="198"/>
    <col min="8678" max="8678" width="21.28515625" style="198" customWidth="1"/>
    <col min="8679" max="8679" width="2.85546875" style="198" customWidth="1"/>
    <col min="8680" max="8684" width="7.5703125" style="198" bestFit="1" customWidth="1"/>
    <col min="8685" max="8685" width="2.42578125" style="198" customWidth="1"/>
    <col min="8686" max="8690" width="7.5703125" style="198" bestFit="1" customWidth="1"/>
    <col min="8691" max="8691" width="2.42578125" style="198" customWidth="1"/>
    <col min="8692" max="8696" width="7.5703125" style="198" bestFit="1" customWidth="1"/>
    <col min="8697" max="8931" width="9.140625" style="198"/>
    <col min="8932" max="8932" width="2" style="198" customWidth="1"/>
    <col min="8933" max="8933" width="9.140625" style="198"/>
    <col min="8934" max="8934" width="21.28515625" style="198" customWidth="1"/>
    <col min="8935" max="8935" width="2.85546875" style="198" customWidth="1"/>
    <col min="8936" max="8940" width="7.5703125" style="198" bestFit="1" customWidth="1"/>
    <col min="8941" max="8941" width="2.42578125" style="198" customWidth="1"/>
    <col min="8942" max="8946" width="7.5703125" style="198" bestFit="1" customWidth="1"/>
    <col min="8947" max="8947" width="2.42578125" style="198" customWidth="1"/>
    <col min="8948" max="8952" width="7.5703125" style="198" bestFit="1" customWidth="1"/>
    <col min="8953" max="9187" width="9.140625" style="198"/>
    <col min="9188" max="9188" width="2" style="198" customWidth="1"/>
    <col min="9189" max="9189" width="9.140625" style="198"/>
    <col min="9190" max="9190" width="21.28515625" style="198" customWidth="1"/>
    <col min="9191" max="9191" width="2.85546875" style="198" customWidth="1"/>
    <col min="9192" max="9196" width="7.5703125" style="198" bestFit="1" customWidth="1"/>
    <col min="9197" max="9197" width="2.42578125" style="198" customWidth="1"/>
    <col min="9198" max="9202" width="7.5703125" style="198" bestFit="1" customWidth="1"/>
    <col min="9203" max="9203" width="2.42578125" style="198" customWidth="1"/>
    <col min="9204" max="9208" width="7.5703125" style="198" bestFit="1" customWidth="1"/>
    <col min="9209" max="9443" width="9.140625" style="198"/>
    <col min="9444" max="9444" width="2" style="198" customWidth="1"/>
    <col min="9445" max="9445" width="9.140625" style="198"/>
    <col min="9446" max="9446" width="21.28515625" style="198" customWidth="1"/>
    <col min="9447" max="9447" width="2.85546875" style="198" customWidth="1"/>
    <col min="9448" max="9452" width="7.5703125" style="198" bestFit="1" customWidth="1"/>
    <col min="9453" max="9453" width="2.42578125" style="198" customWidth="1"/>
    <col min="9454" max="9458" width="7.5703125" style="198" bestFit="1" customWidth="1"/>
    <col min="9459" max="9459" width="2.42578125" style="198" customWidth="1"/>
    <col min="9460" max="9464" width="7.5703125" style="198" bestFit="1" customWidth="1"/>
    <col min="9465" max="9699" width="9.140625" style="198"/>
    <col min="9700" max="9700" width="2" style="198" customWidth="1"/>
    <col min="9701" max="9701" width="9.140625" style="198"/>
    <col min="9702" max="9702" width="21.28515625" style="198" customWidth="1"/>
    <col min="9703" max="9703" width="2.85546875" style="198" customWidth="1"/>
    <col min="9704" max="9708" width="7.5703125" style="198" bestFit="1" customWidth="1"/>
    <col min="9709" max="9709" width="2.42578125" style="198" customWidth="1"/>
    <col min="9710" max="9714" width="7.5703125" style="198" bestFit="1" customWidth="1"/>
    <col min="9715" max="9715" width="2.42578125" style="198" customWidth="1"/>
    <col min="9716" max="9720" width="7.5703125" style="198" bestFit="1" customWidth="1"/>
    <col min="9721" max="9955" width="9.140625" style="198"/>
    <col min="9956" max="9956" width="2" style="198" customWidth="1"/>
    <col min="9957" max="9957" width="9.140625" style="198"/>
    <col min="9958" max="9958" width="21.28515625" style="198" customWidth="1"/>
    <col min="9959" max="9959" width="2.85546875" style="198" customWidth="1"/>
    <col min="9960" max="9964" width="7.5703125" style="198" bestFit="1" customWidth="1"/>
    <col min="9965" max="9965" width="2.42578125" style="198" customWidth="1"/>
    <col min="9966" max="9970" width="7.5703125" style="198" bestFit="1" customWidth="1"/>
    <col min="9971" max="9971" width="2.42578125" style="198" customWidth="1"/>
    <col min="9972" max="9976" width="7.5703125" style="198" bestFit="1" customWidth="1"/>
    <col min="9977" max="10211" width="9.140625" style="198"/>
    <col min="10212" max="10212" width="2" style="198" customWidth="1"/>
    <col min="10213" max="10213" width="9.140625" style="198"/>
    <col min="10214" max="10214" width="21.28515625" style="198" customWidth="1"/>
    <col min="10215" max="10215" width="2.85546875" style="198" customWidth="1"/>
    <col min="10216" max="10220" width="7.5703125" style="198" bestFit="1" customWidth="1"/>
    <col min="10221" max="10221" width="2.42578125" style="198" customWidth="1"/>
    <col min="10222" max="10226" width="7.5703125" style="198" bestFit="1" customWidth="1"/>
    <col min="10227" max="10227" width="2.42578125" style="198" customWidth="1"/>
    <col min="10228" max="10232" width="7.5703125" style="198" bestFit="1" customWidth="1"/>
    <col min="10233" max="10467" width="9.140625" style="198"/>
    <col min="10468" max="10468" width="2" style="198" customWidth="1"/>
    <col min="10469" max="10469" width="9.140625" style="198"/>
    <col min="10470" max="10470" width="21.28515625" style="198" customWidth="1"/>
    <col min="10471" max="10471" width="2.85546875" style="198" customWidth="1"/>
    <col min="10472" max="10476" width="7.5703125" style="198" bestFit="1" customWidth="1"/>
    <col min="10477" max="10477" width="2.42578125" style="198" customWidth="1"/>
    <col min="10478" max="10482" width="7.5703125" style="198" bestFit="1" customWidth="1"/>
    <col min="10483" max="10483" width="2.42578125" style="198" customWidth="1"/>
    <col min="10484" max="10488" width="7.5703125" style="198" bestFit="1" customWidth="1"/>
    <col min="10489" max="10723" width="9.140625" style="198"/>
    <col min="10724" max="10724" width="2" style="198" customWidth="1"/>
    <col min="10725" max="10725" width="9.140625" style="198"/>
    <col min="10726" max="10726" width="21.28515625" style="198" customWidth="1"/>
    <col min="10727" max="10727" width="2.85546875" style="198" customWidth="1"/>
    <col min="10728" max="10732" width="7.5703125" style="198" bestFit="1" customWidth="1"/>
    <col min="10733" max="10733" width="2.42578125" style="198" customWidth="1"/>
    <col min="10734" max="10738" width="7.5703125" style="198" bestFit="1" customWidth="1"/>
    <col min="10739" max="10739" width="2.42578125" style="198" customWidth="1"/>
    <col min="10740" max="10744" width="7.5703125" style="198" bestFit="1" customWidth="1"/>
    <col min="10745" max="10979" width="9.140625" style="198"/>
    <col min="10980" max="10980" width="2" style="198" customWidth="1"/>
    <col min="10981" max="10981" width="9.140625" style="198"/>
    <col min="10982" max="10982" width="21.28515625" style="198" customWidth="1"/>
    <col min="10983" max="10983" width="2.85546875" style="198" customWidth="1"/>
    <col min="10984" max="10988" width="7.5703125" style="198" bestFit="1" customWidth="1"/>
    <col min="10989" max="10989" width="2.42578125" style="198" customWidth="1"/>
    <col min="10990" max="10994" width="7.5703125" style="198" bestFit="1" customWidth="1"/>
    <col min="10995" max="10995" width="2.42578125" style="198" customWidth="1"/>
    <col min="10996" max="11000" width="7.5703125" style="198" bestFit="1" customWidth="1"/>
    <col min="11001" max="11235" width="9.140625" style="198"/>
    <col min="11236" max="11236" width="2" style="198" customWidth="1"/>
    <col min="11237" max="11237" width="9.140625" style="198"/>
    <col min="11238" max="11238" width="21.28515625" style="198" customWidth="1"/>
    <col min="11239" max="11239" width="2.85546875" style="198" customWidth="1"/>
    <col min="11240" max="11244" width="7.5703125" style="198" bestFit="1" customWidth="1"/>
    <col min="11245" max="11245" width="2.42578125" style="198" customWidth="1"/>
    <col min="11246" max="11250" width="7.5703125" style="198" bestFit="1" customWidth="1"/>
    <col min="11251" max="11251" width="2.42578125" style="198" customWidth="1"/>
    <col min="11252" max="11256" width="7.5703125" style="198" bestFit="1" customWidth="1"/>
    <col min="11257" max="11491" width="9.140625" style="198"/>
    <col min="11492" max="11492" width="2" style="198" customWidth="1"/>
    <col min="11493" max="11493" width="9.140625" style="198"/>
    <col min="11494" max="11494" width="21.28515625" style="198" customWidth="1"/>
    <col min="11495" max="11495" width="2.85546875" style="198" customWidth="1"/>
    <col min="11496" max="11500" width="7.5703125" style="198" bestFit="1" customWidth="1"/>
    <col min="11501" max="11501" width="2.42578125" style="198" customWidth="1"/>
    <col min="11502" max="11506" width="7.5703125" style="198" bestFit="1" customWidth="1"/>
    <col min="11507" max="11507" width="2.42578125" style="198" customWidth="1"/>
    <col min="11508" max="11512" width="7.5703125" style="198" bestFit="1" customWidth="1"/>
    <col min="11513" max="11747" width="9.140625" style="198"/>
    <col min="11748" max="11748" width="2" style="198" customWidth="1"/>
    <col min="11749" max="11749" width="9.140625" style="198"/>
    <col min="11750" max="11750" width="21.28515625" style="198" customWidth="1"/>
    <col min="11751" max="11751" width="2.85546875" style="198" customWidth="1"/>
    <col min="11752" max="11756" width="7.5703125" style="198" bestFit="1" customWidth="1"/>
    <col min="11757" max="11757" width="2.42578125" style="198" customWidth="1"/>
    <col min="11758" max="11762" width="7.5703125" style="198" bestFit="1" customWidth="1"/>
    <col min="11763" max="11763" width="2.42578125" style="198" customWidth="1"/>
    <col min="11764" max="11768" width="7.5703125" style="198" bestFit="1" customWidth="1"/>
    <col min="11769" max="12003" width="9.140625" style="198"/>
    <col min="12004" max="12004" width="2" style="198" customWidth="1"/>
    <col min="12005" max="12005" width="9.140625" style="198"/>
    <col min="12006" max="12006" width="21.28515625" style="198" customWidth="1"/>
    <col min="12007" max="12007" width="2.85546875" style="198" customWidth="1"/>
    <col min="12008" max="12012" width="7.5703125" style="198" bestFit="1" customWidth="1"/>
    <col min="12013" max="12013" width="2.42578125" style="198" customWidth="1"/>
    <col min="12014" max="12018" width="7.5703125" style="198" bestFit="1" customWidth="1"/>
    <col min="12019" max="12019" width="2.42578125" style="198" customWidth="1"/>
    <col min="12020" max="12024" width="7.5703125" style="198" bestFit="1" customWidth="1"/>
    <col min="12025" max="12259" width="9.140625" style="198"/>
    <col min="12260" max="12260" width="2" style="198" customWidth="1"/>
    <col min="12261" max="12261" width="9.140625" style="198"/>
    <col min="12262" max="12262" width="21.28515625" style="198" customWidth="1"/>
    <col min="12263" max="12263" width="2.85546875" style="198" customWidth="1"/>
    <col min="12264" max="12268" width="7.5703125" style="198" bestFit="1" customWidth="1"/>
    <col min="12269" max="12269" width="2.42578125" style="198" customWidth="1"/>
    <col min="12270" max="12274" width="7.5703125" style="198" bestFit="1" customWidth="1"/>
    <col min="12275" max="12275" width="2.42578125" style="198" customWidth="1"/>
    <col min="12276" max="12280" width="7.5703125" style="198" bestFit="1" customWidth="1"/>
    <col min="12281" max="12515" width="9.140625" style="198"/>
    <col min="12516" max="12516" width="2" style="198" customWidth="1"/>
    <col min="12517" max="12517" width="9.140625" style="198"/>
    <col min="12518" max="12518" width="21.28515625" style="198" customWidth="1"/>
    <col min="12519" max="12519" width="2.85546875" style="198" customWidth="1"/>
    <col min="12520" max="12524" width="7.5703125" style="198" bestFit="1" customWidth="1"/>
    <col min="12525" max="12525" width="2.42578125" style="198" customWidth="1"/>
    <col min="12526" max="12530" width="7.5703125" style="198" bestFit="1" customWidth="1"/>
    <col min="12531" max="12531" width="2.42578125" style="198" customWidth="1"/>
    <col min="12532" max="12536" width="7.5703125" style="198" bestFit="1" customWidth="1"/>
    <col min="12537" max="12771" width="9.140625" style="198"/>
    <col min="12772" max="12772" width="2" style="198" customWidth="1"/>
    <col min="12773" max="12773" width="9.140625" style="198"/>
    <col min="12774" max="12774" width="21.28515625" style="198" customWidth="1"/>
    <col min="12775" max="12775" width="2.85546875" style="198" customWidth="1"/>
    <col min="12776" max="12780" width="7.5703125" style="198" bestFit="1" customWidth="1"/>
    <col min="12781" max="12781" width="2.42578125" style="198" customWidth="1"/>
    <col min="12782" max="12786" width="7.5703125" style="198" bestFit="1" customWidth="1"/>
    <col min="12787" max="12787" width="2.42578125" style="198" customWidth="1"/>
    <col min="12788" max="12792" width="7.5703125" style="198" bestFit="1" customWidth="1"/>
    <col min="12793" max="13027" width="9.140625" style="198"/>
    <col min="13028" max="13028" width="2" style="198" customWidth="1"/>
    <col min="13029" max="13029" width="9.140625" style="198"/>
    <col min="13030" max="13030" width="21.28515625" style="198" customWidth="1"/>
    <col min="13031" max="13031" width="2.85546875" style="198" customWidth="1"/>
    <col min="13032" max="13036" width="7.5703125" style="198" bestFit="1" customWidth="1"/>
    <col min="13037" max="13037" width="2.42578125" style="198" customWidth="1"/>
    <col min="13038" max="13042" width="7.5703125" style="198" bestFit="1" customWidth="1"/>
    <col min="13043" max="13043" width="2.42578125" style="198" customWidth="1"/>
    <col min="13044" max="13048" width="7.5703125" style="198" bestFit="1" customWidth="1"/>
    <col min="13049" max="13283" width="9.140625" style="198"/>
    <col min="13284" max="13284" width="2" style="198" customWidth="1"/>
    <col min="13285" max="13285" width="9.140625" style="198"/>
    <col min="13286" max="13286" width="21.28515625" style="198" customWidth="1"/>
    <col min="13287" max="13287" width="2.85546875" style="198" customWidth="1"/>
    <col min="13288" max="13292" width="7.5703125" style="198" bestFit="1" customWidth="1"/>
    <col min="13293" max="13293" width="2.42578125" style="198" customWidth="1"/>
    <col min="13294" max="13298" width="7.5703125" style="198" bestFit="1" customWidth="1"/>
    <col min="13299" max="13299" width="2.42578125" style="198" customWidth="1"/>
    <col min="13300" max="13304" width="7.5703125" style="198" bestFit="1" customWidth="1"/>
    <col min="13305" max="13539" width="9.140625" style="198"/>
    <col min="13540" max="13540" width="2" style="198" customWidth="1"/>
    <col min="13541" max="13541" width="9.140625" style="198"/>
    <col min="13542" max="13542" width="21.28515625" style="198" customWidth="1"/>
    <col min="13543" max="13543" width="2.85546875" style="198" customWidth="1"/>
    <col min="13544" max="13548" width="7.5703125" style="198" bestFit="1" customWidth="1"/>
    <col min="13549" max="13549" width="2.42578125" style="198" customWidth="1"/>
    <col min="13550" max="13554" width="7.5703125" style="198" bestFit="1" customWidth="1"/>
    <col min="13555" max="13555" width="2.42578125" style="198" customWidth="1"/>
    <col min="13556" max="13560" width="7.5703125" style="198" bestFit="1" customWidth="1"/>
    <col min="13561" max="13795" width="9.140625" style="198"/>
    <col min="13796" max="13796" width="2" style="198" customWidth="1"/>
    <col min="13797" max="13797" width="9.140625" style="198"/>
    <col min="13798" max="13798" width="21.28515625" style="198" customWidth="1"/>
    <col min="13799" max="13799" width="2.85546875" style="198" customWidth="1"/>
    <col min="13800" max="13804" width="7.5703125" style="198" bestFit="1" customWidth="1"/>
    <col min="13805" max="13805" width="2.42578125" style="198" customWidth="1"/>
    <col min="13806" max="13810" width="7.5703125" style="198" bestFit="1" customWidth="1"/>
    <col min="13811" max="13811" width="2.42578125" style="198" customWidth="1"/>
    <col min="13812" max="13816" width="7.5703125" style="198" bestFit="1" customWidth="1"/>
    <col min="13817" max="14051" width="9.140625" style="198"/>
    <col min="14052" max="14052" width="2" style="198" customWidth="1"/>
    <col min="14053" max="14053" width="9.140625" style="198"/>
    <col min="14054" max="14054" width="21.28515625" style="198" customWidth="1"/>
    <col min="14055" max="14055" width="2.85546875" style="198" customWidth="1"/>
    <col min="14056" max="14060" width="7.5703125" style="198" bestFit="1" customWidth="1"/>
    <col min="14061" max="14061" width="2.42578125" style="198" customWidth="1"/>
    <col min="14062" max="14066" width="7.5703125" style="198" bestFit="1" customWidth="1"/>
    <col min="14067" max="14067" width="2.42578125" style="198" customWidth="1"/>
    <col min="14068" max="14072" width="7.5703125" style="198" bestFit="1" customWidth="1"/>
    <col min="14073" max="14307" width="9.140625" style="198"/>
    <col min="14308" max="14308" width="2" style="198" customWidth="1"/>
    <col min="14309" max="14309" width="9.140625" style="198"/>
    <col min="14310" max="14310" width="21.28515625" style="198" customWidth="1"/>
    <col min="14311" max="14311" width="2.85546875" style="198" customWidth="1"/>
    <col min="14312" max="14316" width="7.5703125" style="198" bestFit="1" customWidth="1"/>
    <col min="14317" max="14317" width="2.42578125" style="198" customWidth="1"/>
    <col min="14318" max="14322" width="7.5703125" style="198" bestFit="1" customWidth="1"/>
    <col min="14323" max="14323" width="2.42578125" style="198" customWidth="1"/>
    <col min="14324" max="14328" width="7.5703125" style="198" bestFit="1" customWidth="1"/>
    <col min="14329" max="14563" width="9.140625" style="198"/>
    <col min="14564" max="14564" width="2" style="198" customWidth="1"/>
    <col min="14565" max="14565" width="9.140625" style="198"/>
    <col min="14566" max="14566" width="21.28515625" style="198" customWidth="1"/>
    <col min="14567" max="14567" width="2.85546875" style="198" customWidth="1"/>
    <col min="14568" max="14572" width="7.5703125" style="198" bestFit="1" customWidth="1"/>
    <col min="14573" max="14573" width="2.42578125" style="198" customWidth="1"/>
    <col min="14574" max="14578" width="7.5703125" style="198" bestFit="1" customWidth="1"/>
    <col min="14579" max="14579" width="2.42578125" style="198" customWidth="1"/>
    <col min="14580" max="14584" width="7.5703125" style="198" bestFit="1" customWidth="1"/>
    <col min="14585" max="14819" width="9.140625" style="198"/>
    <col min="14820" max="14820" width="2" style="198" customWidth="1"/>
    <col min="14821" max="14821" width="9.140625" style="198"/>
    <col min="14822" max="14822" width="21.28515625" style="198" customWidth="1"/>
    <col min="14823" max="14823" width="2.85546875" style="198" customWidth="1"/>
    <col min="14824" max="14828" width="7.5703125" style="198" bestFit="1" customWidth="1"/>
    <col min="14829" max="14829" width="2.42578125" style="198" customWidth="1"/>
    <col min="14830" max="14834" width="7.5703125" style="198" bestFit="1" customWidth="1"/>
    <col min="14835" max="14835" width="2.42578125" style="198" customWidth="1"/>
    <col min="14836" max="14840" width="7.5703125" style="198" bestFit="1" customWidth="1"/>
    <col min="14841" max="15075" width="9.140625" style="198"/>
    <col min="15076" max="15076" width="2" style="198" customWidth="1"/>
    <col min="15077" max="15077" width="9.140625" style="198"/>
    <col min="15078" max="15078" width="21.28515625" style="198" customWidth="1"/>
    <col min="15079" max="15079" width="2.85546875" style="198" customWidth="1"/>
    <col min="15080" max="15084" width="7.5703125" style="198" bestFit="1" customWidth="1"/>
    <col min="15085" max="15085" width="2.42578125" style="198" customWidth="1"/>
    <col min="15086" max="15090" width="7.5703125" style="198" bestFit="1" customWidth="1"/>
    <col min="15091" max="15091" width="2.42578125" style="198" customWidth="1"/>
    <col min="15092" max="15096" width="7.5703125" style="198" bestFit="1" customWidth="1"/>
    <col min="15097" max="15331" width="9.140625" style="198"/>
    <col min="15332" max="15332" width="2" style="198" customWidth="1"/>
    <col min="15333" max="15333" width="9.140625" style="198"/>
    <col min="15334" max="15334" width="21.28515625" style="198" customWidth="1"/>
    <col min="15335" max="15335" width="2.85546875" style="198" customWidth="1"/>
    <col min="15336" max="15340" width="7.5703125" style="198" bestFit="1" customWidth="1"/>
    <col min="15341" max="15341" width="2.42578125" style="198" customWidth="1"/>
    <col min="15342" max="15346" width="7.5703125" style="198" bestFit="1" customWidth="1"/>
    <col min="15347" max="15347" width="2.42578125" style="198" customWidth="1"/>
    <col min="15348" max="15352" width="7.5703125" style="198" bestFit="1" customWidth="1"/>
    <col min="15353" max="15587" width="9.140625" style="198"/>
    <col min="15588" max="15588" width="2" style="198" customWidth="1"/>
    <col min="15589" max="15589" width="9.140625" style="198"/>
    <col min="15590" max="15590" width="21.28515625" style="198" customWidth="1"/>
    <col min="15591" max="15591" width="2.85546875" style="198" customWidth="1"/>
    <col min="15592" max="15596" width="7.5703125" style="198" bestFit="1" customWidth="1"/>
    <col min="15597" max="15597" width="2.42578125" style="198" customWidth="1"/>
    <col min="15598" max="15602" width="7.5703125" style="198" bestFit="1" customWidth="1"/>
    <col min="15603" max="15603" width="2.42578125" style="198" customWidth="1"/>
    <col min="15604" max="15608" width="7.5703125" style="198" bestFit="1" customWidth="1"/>
    <col min="15609" max="15843" width="9.140625" style="198"/>
    <col min="15844" max="15844" width="2" style="198" customWidth="1"/>
    <col min="15845" max="15845" width="9.140625" style="198"/>
    <col min="15846" max="15846" width="21.28515625" style="198" customWidth="1"/>
    <col min="15847" max="15847" width="2.85546875" style="198" customWidth="1"/>
    <col min="15848" max="15852" width="7.5703125" style="198" bestFit="1" customWidth="1"/>
    <col min="15853" max="15853" width="2.42578125" style="198" customWidth="1"/>
    <col min="15854" max="15858" width="7.5703125" style="198" bestFit="1" customWidth="1"/>
    <col min="15859" max="15859" width="2.42578125" style="198" customWidth="1"/>
    <col min="15860" max="15864" width="7.5703125" style="198" bestFit="1" customWidth="1"/>
    <col min="15865" max="16099" width="9.140625" style="198"/>
    <col min="16100" max="16100" width="2" style="198" customWidth="1"/>
    <col min="16101" max="16101" width="9.140625" style="198"/>
    <col min="16102" max="16102" width="21.28515625" style="198" customWidth="1"/>
    <col min="16103" max="16103" width="2.85546875" style="198" customWidth="1"/>
    <col min="16104" max="16108" width="7.5703125" style="198" bestFit="1" customWidth="1"/>
    <col min="16109" max="16109" width="2.42578125" style="198" customWidth="1"/>
    <col min="16110" max="16114" width="7.5703125" style="198" bestFit="1" customWidth="1"/>
    <col min="16115" max="16115" width="2.42578125" style="198" customWidth="1"/>
    <col min="16116" max="16120" width="7.5703125" style="198" bestFit="1" customWidth="1"/>
    <col min="16121" max="16370" width="9.140625" style="198"/>
    <col min="16371" max="16384" width="9" style="198" customWidth="1"/>
  </cols>
  <sheetData>
    <row r="1" spans="1:30" ht="15" customHeight="1" x14ac:dyDescent="0.25">
      <c r="A1" s="323"/>
      <c r="AA1" s="269" t="s">
        <v>17</v>
      </c>
      <c r="AB1" s="208" t="s">
        <v>20</v>
      </c>
      <c r="AC1" s="208" t="s">
        <v>139</v>
      </c>
      <c r="AD1" s="208">
        <v>0</v>
      </c>
    </row>
    <row r="2" spans="1:30" ht="15" customHeight="1" x14ac:dyDescent="0.25">
      <c r="A2" s="209" t="s">
        <v>12</v>
      </c>
      <c r="AA2" s="269"/>
      <c r="AB2" s="208" t="s">
        <v>19</v>
      </c>
      <c r="AD2" s="208">
        <v>14</v>
      </c>
    </row>
    <row r="3" spans="1:30" ht="30" customHeight="1" x14ac:dyDescent="0.2">
      <c r="A3" s="349" t="s">
        <v>125</v>
      </c>
      <c r="B3" s="349"/>
      <c r="C3" s="349"/>
      <c r="D3" s="349"/>
      <c r="E3" s="349"/>
      <c r="F3" s="349"/>
      <c r="G3" s="349"/>
      <c r="H3" s="349"/>
      <c r="I3" s="349"/>
      <c r="J3" s="349"/>
      <c r="AA3" s="269"/>
      <c r="AB3" s="208" t="s">
        <v>18</v>
      </c>
      <c r="AD3" s="208">
        <v>28</v>
      </c>
    </row>
    <row r="4" spans="1:30" ht="15" customHeight="1" x14ac:dyDescent="0.2">
      <c r="A4" s="210" t="s">
        <v>126</v>
      </c>
      <c r="B4" s="274"/>
      <c r="C4" s="274"/>
      <c r="D4" s="274"/>
      <c r="E4" s="274"/>
      <c r="F4" s="274"/>
      <c r="G4" s="274"/>
      <c r="H4" s="274"/>
      <c r="I4" s="275"/>
      <c r="J4" s="275"/>
      <c r="AA4" s="269" t="s">
        <v>17</v>
      </c>
      <c r="AB4" s="276"/>
      <c r="AD4" s="208">
        <f>IF(J11=AB1,0,IF(J11=AB2,AD2,28))</f>
        <v>0</v>
      </c>
    </row>
    <row r="5" spans="1:30" ht="15" customHeight="1" x14ac:dyDescent="0.2">
      <c r="A5" s="113" t="s">
        <v>92</v>
      </c>
      <c r="B5" s="274"/>
      <c r="C5" s="274"/>
      <c r="D5" s="274"/>
      <c r="E5" s="274"/>
      <c r="F5" s="274"/>
      <c r="G5" s="274"/>
      <c r="H5" s="274"/>
      <c r="I5" s="275"/>
      <c r="J5" s="275"/>
      <c r="N5" s="199"/>
      <c r="O5" s="199"/>
      <c r="P5" s="199"/>
      <c r="Q5" s="199"/>
      <c r="R5" s="199"/>
      <c r="S5" s="199"/>
      <c r="T5" s="199"/>
      <c r="U5" s="199"/>
      <c r="AA5" s="208" t="s">
        <v>82</v>
      </c>
      <c r="AB5" s="277" t="s">
        <v>70</v>
      </c>
      <c r="AC5" s="208" t="s">
        <v>140</v>
      </c>
      <c r="AD5" s="208">
        <v>0</v>
      </c>
    </row>
    <row r="6" spans="1:30" ht="15" customHeight="1" x14ac:dyDescent="0.2">
      <c r="A6" s="113"/>
      <c r="B6" s="274"/>
      <c r="C6" s="274"/>
      <c r="D6" s="274"/>
      <c r="E6" s="274"/>
      <c r="F6" s="274"/>
      <c r="G6" s="274"/>
      <c r="H6" s="274"/>
      <c r="I6" s="275"/>
      <c r="J6" s="275"/>
      <c r="N6" s="199"/>
      <c r="O6" s="199"/>
      <c r="P6" s="199"/>
      <c r="Q6" s="199"/>
      <c r="R6" s="199"/>
      <c r="S6" s="199"/>
      <c r="T6" s="199"/>
      <c r="U6" s="199"/>
      <c r="AB6" s="276" t="s">
        <v>80</v>
      </c>
      <c r="AD6" s="208">
        <v>45</v>
      </c>
    </row>
    <row r="7" spans="1:30" ht="15" customHeight="1" x14ac:dyDescent="0.25">
      <c r="A7" s="329" t="s">
        <v>124</v>
      </c>
      <c r="B7" s="330"/>
      <c r="C7" s="330"/>
      <c r="D7" s="330"/>
      <c r="E7" s="330"/>
      <c r="F7" s="330"/>
      <c r="G7" s="330"/>
      <c r="H7" s="330"/>
      <c r="I7" s="330"/>
      <c r="J7" s="330"/>
      <c r="K7" s="330"/>
      <c r="L7" s="330"/>
      <c r="M7" s="330"/>
      <c r="N7" s="294"/>
      <c r="O7" s="294"/>
      <c r="P7" s="294"/>
      <c r="Q7" s="294"/>
      <c r="AB7" s="276" t="s">
        <v>81</v>
      </c>
      <c r="AD7" s="208">
        <v>90</v>
      </c>
    </row>
    <row r="8" spans="1:30" ht="15" customHeight="1" x14ac:dyDescent="0.25">
      <c r="A8" s="330"/>
      <c r="B8" s="330"/>
      <c r="C8" s="330"/>
      <c r="D8" s="330"/>
      <c r="E8" s="330"/>
      <c r="F8" s="330"/>
      <c r="G8" s="330"/>
      <c r="H8" s="330"/>
      <c r="I8" s="330"/>
      <c r="J8" s="330"/>
      <c r="K8" s="330"/>
      <c r="L8" s="330"/>
      <c r="M8" s="330"/>
      <c r="N8" s="294"/>
      <c r="O8" s="294"/>
      <c r="P8" s="294"/>
      <c r="Q8" s="294"/>
      <c r="AA8" s="208" t="s">
        <v>82</v>
      </c>
      <c r="AB8" s="276"/>
      <c r="AD8" s="208">
        <f>IF(J12=AB5,0,IF(J12=AB6,45,90))</f>
        <v>0</v>
      </c>
    </row>
    <row r="9" spans="1:30" s="105" customFormat="1" ht="15" customHeight="1" x14ac:dyDescent="0.25">
      <c r="A9" s="330"/>
      <c r="B9" s="330"/>
      <c r="C9" s="330"/>
      <c r="D9" s="330"/>
      <c r="E9" s="330"/>
      <c r="F9" s="330"/>
      <c r="G9" s="330"/>
      <c r="H9" s="330"/>
      <c r="I9" s="330"/>
      <c r="J9" s="330"/>
      <c r="K9" s="330"/>
      <c r="L9" s="330"/>
      <c r="M9" s="330"/>
      <c r="N9" s="294"/>
      <c r="O9" s="294"/>
      <c r="P9" s="294"/>
      <c r="Q9" s="294"/>
      <c r="R9" s="279"/>
      <c r="S9" s="279"/>
      <c r="T9" s="279"/>
      <c r="U9" s="279"/>
      <c r="AA9" s="208"/>
      <c r="AB9" s="254"/>
      <c r="AC9" s="208"/>
      <c r="AD9" s="208"/>
    </row>
    <row r="10" spans="1:30" s="105" customFormat="1" ht="15" customHeight="1" x14ac:dyDescent="0.25">
      <c r="A10" s="286"/>
      <c r="B10" s="286"/>
      <c r="C10" s="286"/>
      <c r="D10" s="286"/>
      <c r="E10" s="286"/>
      <c r="F10" s="286"/>
      <c r="G10" s="286"/>
      <c r="H10" s="286"/>
      <c r="I10" s="286"/>
      <c r="J10" s="286"/>
      <c r="K10" s="286"/>
      <c r="L10" s="286"/>
      <c r="M10" s="286"/>
      <c r="N10" s="282"/>
      <c r="O10" s="282"/>
      <c r="P10" s="282"/>
      <c r="Q10" s="282"/>
      <c r="R10" s="282"/>
      <c r="S10" s="282"/>
      <c r="T10" s="282"/>
      <c r="U10" s="282"/>
      <c r="AA10" s="208"/>
      <c r="AB10" s="254"/>
      <c r="AC10" s="208"/>
      <c r="AD10" s="208"/>
    </row>
    <row r="11" spans="1:30" ht="15" customHeight="1" x14ac:dyDescent="0.2">
      <c r="B11" s="274"/>
      <c r="C11" s="274"/>
      <c r="D11" s="274"/>
      <c r="E11" s="274"/>
      <c r="F11" s="274"/>
      <c r="G11" s="274"/>
      <c r="H11" s="274"/>
      <c r="I11" s="240" t="s">
        <v>17</v>
      </c>
      <c r="J11" s="358" t="s">
        <v>20</v>
      </c>
      <c r="K11" s="358"/>
      <c r="L11" s="358"/>
      <c r="M11" s="359"/>
      <c r="N11" s="175"/>
      <c r="O11" s="175"/>
      <c r="P11" s="175"/>
      <c r="Q11" s="175"/>
      <c r="R11" s="175"/>
      <c r="S11" s="175"/>
      <c r="T11" s="175"/>
      <c r="U11" s="175"/>
      <c r="AB11" s="254"/>
    </row>
    <row r="12" spans="1:30" ht="15" customHeight="1" x14ac:dyDescent="0.2">
      <c r="B12" s="104"/>
      <c r="C12" s="104"/>
      <c r="D12" s="104"/>
      <c r="E12" s="104"/>
      <c r="I12" s="240" t="s">
        <v>82</v>
      </c>
      <c r="J12" s="358" t="s">
        <v>70</v>
      </c>
      <c r="K12" s="358"/>
      <c r="L12" s="358"/>
      <c r="M12" s="359"/>
      <c r="N12" s="175"/>
      <c r="O12" s="175"/>
      <c r="P12" s="175"/>
      <c r="Q12" s="175"/>
      <c r="R12" s="175"/>
      <c r="S12" s="175"/>
      <c r="T12" s="175"/>
      <c r="U12" s="175"/>
      <c r="AB12" s="254"/>
    </row>
    <row r="13" spans="1:30" ht="15" customHeight="1" x14ac:dyDescent="0.2">
      <c r="B13" s="104"/>
      <c r="C13" s="104"/>
      <c r="D13" s="104"/>
      <c r="E13" s="104"/>
      <c r="N13" s="193"/>
      <c r="O13" s="193"/>
      <c r="P13" s="193"/>
      <c r="Q13" s="193"/>
      <c r="R13" s="193"/>
      <c r="S13" s="193"/>
      <c r="T13" s="193"/>
      <c r="U13" s="193"/>
      <c r="AA13" s="208" t="s">
        <v>141</v>
      </c>
      <c r="AB13" s="254"/>
      <c r="AC13" s="208" t="s">
        <v>140</v>
      </c>
      <c r="AD13" s="254">
        <v>1</v>
      </c>
    </row>
    <row r="14" spans="1:30" ht="15" customHeight="1" x14ac:dyDescent="0.2">
      <c r="A14" s="109"/>
      <c r="B14" s="175"/>
      <c r="C14" s="175"/>
      <c r="D14" s="175"/>
      <c r="E14" s="175"/>
      <c r="F14" s="109"/>
      <c r="G14" s="109"/>
      <c r="H14" s="175"/>
      <c r="I14" s="175"/>
      <c r="J14" s="175"/>
      <c r="N14" s="195"/>
      <c r="O14" s="195"/>
      <c r="P14" s="195"/>
      <c r="Q14" s="195"/>
      <c r="R14" s="195"/>
      <c r="S14" s="195"/>
      <c r="T14" s="195"/>
      <c r="U14" s="195"/>
      <c r="AB14" s="254"/>
    </row>
    <row r="15" spans="1:30" ht="15" customHeight="1" x14ac:dyDescent="0.2">
      <c r="A15" s="278"/>
      <c r="B15" s="216"/>
      <c r="C15" s="350" t="s">
        <v>111</v>
      </c>
      <c r="D15" s="352"/>
      <c r="E15" s="216"/>
      <c r="F15" s="350" t="s">
        <v>112</v>
      </c>
      <c r="G15" s="352"/>
      <c r="H15" s="216"/>
      <c r="I15" s="350" t="s">
        <v>190</v>
      </c>
      <c r="J15" s="352"/>
      <c r="K15" s="216"/>
      <c r="L15" s="350" t="s">
        <v>20</v>
      </c>
      <c r="M15" s="352"/>
      <c r="N15" s="193"/>
      <c r="O15" s="193"/>
      <c r="P15" s="193"/>
      <c r="Q15" s="193"/>
      <c r="R15" s="193"/>
      <c r="S15" s="193"/>
      <c r="T15" s="193"/>
      <c r="U15" s="193"/>
      <c r="AB15" s="254"/>
      <c r="AD15" s="208">
        <v>3</v>
      </c>
    </row>
    <row r="16" spans="1:30" ht="15" customHeight="1" x14ac:dyDescent="0.2">
      <c r="A16" s="111"/>
      <c r="B16" s="217"/>
      <c r="C16" s="306" t="s">
        <v>187</v>
      </c>
      <c r="D16" s="280" t="s">
        <v>192</v>
      </c>
      <c r="E16" s="281"/>
      <c r="F16" s="306" t="s">
        <v>187</v>
      </c>
      <c r="G16" s="280" t="s">
        <v>192</v>
      </c>
      <c r="H16" s="281"/>
      <c r="I16" s="306" t="s">
        <v>187</v>
      </c>
      <c r="J16" s="280" t="s">
        <v>192</v>
      </c>
      <c r="K16" s="281"/>
      <c r="L16" s="306" t="s">
        <v>187</v>
      </c>
      <c r="M16" s="280" t="s">
        <v>192</v>
      </c>
      <c r="N16" s="172"/>
      <c r="O16" s="172"/>
      <c r="P16" s="172"/>
      <c r="Q16" s="172"/>
      <c r="R16" s="172"/>
      <c r="S16" s="172"/>
      <c r="T16" s="172"/>
      <c r="U16" s="172"/>
      <c r="AB16" s="254"/>
    </row>
    <row r="17" spans="1:30" ht="15" customHeight="1" x14ac:dyDescent="0.2">
      <c r="A17" s="108"/>
      <c r="B17" s="175"/>
      <c r="C17" s="307"/>
      <c r="D17" s="175"/>
      <c r="E17" s="175"/>
      <c r="F17" s="314"/>
      <c r="G17" s="175"/>
      <c r="H17" s="175"/>
      <c r="I17" s="314"/>
      <c r="J17" s="175"/>
      <c r="K17" s="175"/>
      <c r="L17" s="314"/>
      <c r="M17" s="175"/>
      <c r="N17" s="193"/>
      <c r="O17" s="193"/>
      <c r="P17" s="193"/>
      <c r="Q17" s="193"/>
      <c r="R17" s="193"/>
      <c r="S17" s="193"/>
      <c r="T17" s="193"/>
      <c r="U17" s="193"/>
      <c r="AB17" s="254"/>
      <c r="AD17" s="208">
        <v>5</v>
      </c>
    </row>
    <row r="18" spans="1:30" ht="15" customHeight="1" x14ac:dyDescent="0.2">
      <c r="A18" s="108" t="s">
        <v>21</v>
      </c>
      <c r="B18" s="175"/>
      <c r="C18" s="307"/>
      <c r="D18" s="175"/>
      <c r="E18" s="175"/>
      <c r="F18" s="307"/>
      <c r="G18" s="175"/>
      <c r="H18" s="175"/>
      <c r="I18" s="307"/>
      <c r="J18" s="175"/>
      <c r="K18" s="175"/>
      <c r="L18" s="307"/>
      <c r="M18" s="175"/>
      <c r="N18" s="193"/>
      <c r="O18" s="193"/>
      <c r="P18" s="193"/>
      <c r="Q18" s="193"/>
      <c r="R18" s="193"/>
      <c r="S18" s="193"/>
      <c r="T18" s="193"/>
      <c r="U18" s="193"/>
      <c r="AB18" s="254"/>
      <c r="AD18" s="208">
        <v>6</v>
      </c>
    </row>
    <row r="19" spans="1:30" ht="15" customHeight="1" x14ac:dyDescent="0.2">
      <c r="A19" s="110" t="s">
        <v>20</v>
      </c>
      <c r="B19" s="175"/>
      <c r="C19" s="308">
        <f>INDEX('Table B1 feeder rounded values'!$E$13:$AS$118,$AD$8+$AD13,3+$AD$4)</f>
        <v>850</v>
      </c>
      <c r="D19" s="195">
        <f>INDEX('Table B1 feeder rounded values'!$E$13:$AS$118,$AD$8+$AD13,4+$AD$4)</f>
        <v>1160</v>
      </c>
      <c r="E19" s="195"/>
      <c r="F19" s="308">
        <f>INDEX('Table B1 feeder rounded values'!$E$13:$AS$118,$AD$8+$AD13,6+$AD$4)</f>
        <v>170</v>
      </c>
      <c r="G19" s="195">
        <f>INDEX('Table B1 feeder rounded values'!$E$13:$AS$118,$AD$8+$AD13,7+$AD$4)</f>
        <v>260</v>
      </c>
      <c r="H19" s="195"/>
      <c r="I19" s="308">
        <f>INDEX('Table B1 feeder rounded values'!$E$13:$AS$118,$AD$8+$AD13,9+$AD$4)</f>
        <v>130</v>
      </c>
      <c r="J19" s="195">
        <f>INDEX('Table B1 feeder rounded values'!$E$13:$AS$118,$AD$8+$AD13,10+$AD$4)</f>
        <v>130</v>
      </c>
      <c r="K19" s="195"/>
      <c r="L19" s="308">
        <f>INDEX('Table B1 feeder rounded values'!$E$13:$AS$118,$AD$8+$AD13,12+$AD$4)</f>
        <v>1150</v>
      </c>
      <c r="M19" s="195">
        <f>INDEX('Table B1 feeder rounded values'!$E$13:$AS$118,$AD$8+$AD13,13+$AD$4)</f>
        <v>1540</v>
      </c>
      <c r="N19" s="193"/>
      <c r="O19" s="193"/>
      <c r="P19" s="193"/>
      <c r="Q19" s="193"/>
      <c r="R19" s="193"/>
      <c r="S19" s="193"/>
      <c r="T19" s="193"/>
      <c r="U19" s="193"/>
      <c r="AB19" s="254"/>
      <c r="AD19" s="208">
        <v>7</v>
      </c>
    </row>
    <row r="20" spans="1:30" ht="15" customHeight="1" x14ac:dyDescent="0.2">
      <c r="A20" s="110"/>
      <c r="B20" s="175"/>
      <c r="C20" s="308"/>
      <c r="D20" s="195"/>
      <c r="E20" s="195"/>
      <c r="F20" s="308"/>
      <c r="G20" s="195"/>
      <c r="H20" s="195"/>
      <c r="I20" s="308"/>
      <c r="J20" s="195"/>
      <c r="K20" s="195"/>
      <c r="L20" s="308"/>
      <c r="M20" s="195"/>
      <c r="N20" s="175"/>
      <c r="O20" s="175"/>
      <c r="P20" s="175"/>
      <c r="Q20" s="175"/>
      <c r="R20" s="175"/>
      <c r="S20" s="175"/>
      <c r="T20" s="175"/>
      <c r="U20" s="175"/>
      <c r="AB20" s="254"/>
    </row>
    <row r="21" spans="1:30" ht="15" customHeight="1" x14ac:dyDescent="0.2">
      <c r="A21" s="223" t="s">
        <v>45</v>
      </c>
      <c r="B21" s="175"/>
      <c r="C21" s="308">
        <f>INDEX('Table B1 feeder rounded values'!$E$13:$AS$118,$AD$8+$AD15,3+$AD$4)</f>
        <v>400</v>
      </c>
      <c r="D21" s="195">
        <f>INDEX('Table B1 feeder rounded values'!$E$13:$AS$118,$AD$8+$AD15,4+$AD$4)</f>
        <v>570</v>
      </c>
      <c r="E21" s="195"/>
      <c r="F21" s="308">
        <f>INDEX('Table B1 feeder rounded values'!$E$13:$AS$118,$AD$8+$AD15,6+$AD$4)</f>
        <v>90</v>
      </c>
      <c r="G21" s="195">
        <f>INDEX('Table B1 feeder rounded values'!$E$13:$AS$118,$AD$8+$AD15,7+$AD$4)</f>
        <v>160</v>
      </c>
      <c r="H21" s="195"/>
      <c r="I21" s="308">
        <f>INDEX('Table B1 feeder rounded values'!$E$13:$AS$118,$AD$8+$AD15,9+$AD$4)</f>
        <v>70</v>
      </c>
      <c r="J21" s="195">
        <f>INDEX('Table B1 feeder rounded values'!$E$13:$AS$118,$AD$8+$AD15,10+$AD$4)</f>
        <v>80</v>
      </c>
      <c r="K21" s="195"/>
      <c r="L21" s="308">
        <f>INDEX('Table B1 feeder rounded values'!$E$13:$AS$118,$AD$8+$AD15,12+$AD$4)</f>
        <v>560</v>
      </c>
      <c r="M21" s="195">
        <f>INDEX('Table B1 feeder rounded values'!$E$13:$AS$118,$AD$8+$AD15,13+$AD$4)</f>
        <v>800</v>
      </c>
      <c r="N21" s="175"/>
      <c r="O21" s="175"/>
      <c r="P21" s="175"/>
      <c r="Q21" s="175"/>
      <c r="R21" s="175"/>
      <c r="S21" s="175"/>
      <c r="T21" s="175"/>
      <c r="U21" s="175"/>
      <c r="AB21" s="254"/>
    </row>
    <row r="22" spans="1:30" ht="15" customHeight="1" x14ac:dyDescent="0.2">
      <c r="A22" s="223"/>
      <c r="B22" s="175"/>
      <c r="C22" s="309"/>
      <c r="D22" s="171"/>
      <c r="E22" s="171"/>
      <c r="F22" s="309"/>
      <c r="G22" s="171"/>
      <c r="H22" s="171"/>
      <c r="I22" s="309"/>
      <c r="J22" s="171"/>
      <c r="K22" s="171"/>
      <c r="L22" s="309"/>
      <c r="M22" s="171"/>
      <c r="N22" s="285"/>
      <c r="O22" s="285"/>
      <c r="P22" s="285"/>
      <c r="Q22" s="285"/>
      <c r="R22" s="285"/>
      <c r="S22" s="285"/>
      <c r="T22" s="285"/>
      <c r="U22" s="285"/>
      <c r="AB22" s="254"/>
      <c r="AD22" s="208">
        <v>10</v>
      </c>
    </row>
    <row r="23" spans="1:30" ht="15" customHeight="1" x14ac:dyDescent="0.2">
      <c r="A23" s="223" t="s">
        <v>75</v>
      </c>
      <c r="B23" s="175"/>
      <c r="C23" s="308">
        <f>INDEX('Table B1 feeder rounded values'!$E$13:$AS$118,$AD$8+$AD17,3+$AD$4)</f>
        <v>450</v>
      </c>
      <c r="D23" s="195">
        <f>INDEX('Table B1 feeder rounded values'!$E$13:$AS$118,$AD$8+$AD17,4+$AD$4)</f>
        <v>590</v>
      </c>
      <c r="E23" s="195"/>
      <c r="F23" s="308">
        <f>INDEX('Table B1 feeder rounded values'!$E$13:$AS$118,$AD$8+$AD17,6+$AD$4)</f>
        <v>80</v>
      </c>
      <c r="G23" s="195">
        <f>INDEX('Table B1 feeder rounded values'!$E$13:$AS$118,$AD$8+$AD17,7+$AD$4)</f>
        <v>100</v>
      </c>
      <c r="H23" s="195"/>
      <c r="I23" s="308">
        <f>INDEX('Table B1 feeder rounded values'!$E$13:$AS$118,$AD$8+$AD17,9+$AD$4)</f>
        <v>60</v>
      </c>
      <c r="J23" s="195">
        <f>INDEX('Table B1 feeder rounded values'!$E$13:$AS$118,$AD$8+$AD17,10+$AD$4)</f>
        <v>50</v>
      </c>
      <c r="K23" s="195"/>
      <c r="L23" s="308">
        <f>INDEX('Table B1 feeder rounded values'!$E$13:$AS$118,$AD$8+$AD17,12+$AD$4)</f>
        <v>590</v>
      </c>
      <c r="M23" s="195">
        <f>INDEX('Table B1 feeder rounded values'!$E$13:$AS$118,$AD$8+$AD17,13+$AD$4)</f>
        <v>740</v>
      </c>
      <c r="N23" s="283"/>
      <c r="O23" s="283"/>
      <c r="P23" s="283"/>
      <c r="Q23" s="283"/>
      <c r="R23" s="283"/>
      <c r="S23" s="283"/>
      <c r="T23" s="283"/>
      <c r="U23" s="283"/>
      <c r="AB23" s="254"/>
    </row>
    <row r="24" spans="1:30" ht="15" customHeight="1" x14ac:dyDescent="0.2">
      <c r="A24" s="223" t="s">
        <v>66</v>
      </c>
      <c r="C24" s="308">
        <f>INDEX('Table B1 feeder rounded values'!$E$13:$AS$118,$AD$8+$AD18,3+$AD$4)</f>
        <v>220</v>
      </c>
      <c r="D24" s="195">
        <f>INDEX('Table B1 feeder rounded values'!$E$13:$AS$118,$AD$8+$AD18,4+$AD$4)</f>
        <v>280</v>
      </c>
      <c r="E24" s="195"/>
      <c r="F24" s="308">
        <f>INDEX('Table B1 feeder rounded values'!$E$13:$AS$118,$AD$8+$AD18,6+$AD$4)</f>
        <v>30</v>
      </c>
      <c r="G24" s="195">
        <f>INDEX('Table B1 feeder rounded values'!$E$13:$AS$118,$AD$8+$AD18,7+$AD$4)</f>
        <v>50</v>
      </c>
      <c r="H24" s="195"/>
      <c r="I24" s="308">
        <f>INDEX('Table B1 feeder rounded values'!$E$13:$AS$118,$AD$8+$AD18,9+$AD$4)</f>
        <v>20</v>
      </c>
      <c r="J24" s="195">
        <f>INDEX('Table B1 feeder rounded values'!$E$13:$AS$118,$AD$8+$AD18,10+$AD$4)</f>
        <v>30</v>
      </c>
      <c r="K24" s="195"/>
      <c r="L24" s="308">
        <f>INDEX('Table B1 feeder rounded values'!$E$13:$AS$118,$AD$8+$AD18,12+$AD$4)</f>
        <v>270</v>
      </c>
      <c r="M24" s="195">
        <f>INDEX('Table B1 feeder rounded values'!$E$13:$AS$118,$AD$8+$AD18,13+$AD$4)</f>
        <v>360</v>
      </c>
      <c r="N24" s="285"/>
      <c r="O24" s="285"/>
      <c r="P24" s="285"/>
      <c r="Q24" s="285"/>
      <c r="R24" s="285"/>
      <c r="S24" s="285"/>
      <c r="T24" s="285"/>
      <c r="U24" s="285"/>
      <c r="AB24" s="254"/>
      <c r="AD24" s="208">
        <v>12</v>
      </c>
    </row>
    <row r="25" spans="1:30" ht="15" customHeight="1" x14ac:dyDescent="0.2">
      <c r="A25" s="223" t="s">
        <v>67</v>
      </c>
      <c r="C25" s="308">
        <f>INDEX('Table B1 feeder rounded values'!$E$13:$AS$118,$AD$8+$AD19,3+$AD$4)</f>
        <v>240</v>
      </c>
      <c r="D25" s="195">
        <f>INDEX('Table B1 feeder rounded values'!$E$13:$AS$118,$AD$8+$AD19,4+$AD$4)</f>
        <v>300</v>
      </c>
      <c r="E25" s="195"/>
      <c r="F25" s="308">
        <f>INDEX('Table B1 feeder rounded values'!$E$13:$AS$118,$AD$8+$AD19,6+$AD$4)</f>
        <v>50</v>
      </c>
      <c r="G25" s="195">
        <f>INDEX('Table B1 feeder rounded values'!$E$13:$AS$118,$AD$8+$AD19,7+$AD$4)</f>
        <v>60</v>
      </c>
      <c r="H25" s="195"/>
      <c r="I25" s="308">
        <f>INDEX('Table B1 feeder rounded values'!$E$13:$AS$118,$AD$8+$AD19,9+$AD$4)</f>
        <v>40</v>
      </c>
      <c r="J25" s="195">
        <f>INDEX('Table B1 feeder rounded values'!$E$13:$AS$118,$AD$8+$AD19,10+$AD$4)</f>
        <v>30</v>
      </c>
      <c r="K25" s="195"/>
      <c r="L25" s="308">
        <f>INDEX('Table B1 feeder rounded values'!$E$13:$AS$118,$AD$8+$AD19,12+$AD$4)</f>
        <v>320</v>
      </c>
      <c r="M25" s="195">
        <f>INDEX('Table B1 feeder rounded values'!$E$13:$AS$118,$AD$8+$AD19,13+$AD$4)</f>
        <v>390</v>
      </c>
      <c r="N25" s="173"/>
      <c r="O25" s="173"/>
      <c r="P25" s="173"/>
      <c r="Q25" s="173"/>
      <c r="R25" s="173"/>
      <c r="S25" s="173"/>
      <c r="T25" s="173"/>
      <c r="U25" s="173"/>
      <c r="AB25" s="254"/>
    </row>
    <row r="26" spans="1:30" ht="15" customHeight="1" x14ac:dyDescent="0.2">
      <c r="A26" s="108"/>
      <c r="B26" s="175"/>
      <c r="C26" s="310"/>
      <c r="D26" s="107"/>
      <c r="E26" s="107"/>
      <c r="F26" s="310"/>
      <c r="G26" s="107"/>
      <c r="H26" s="107"/>
      <c r="I26" s="310"/>
      <c r="J26" s="107"/>
      <c r="K26" s="107"/>
      <c r="L26" s="310"/>
      <c r="M26" s="107"/>
      <c r="N26" s="285"/>
      <c r="O26" s="285"/>
      <c r="P26" s="285"/>
      <c r="Q26" s="285"/>
      <c r="R26" s="285"/>
      <c r="S26" s="285"/>
      <c r="T26" s="285"/>
      <c r="U26" s="285"/>
      <c r="AB26" s="254"/>
      <c r="AD26" s="208">
        <v>14</v>
      </c>
    </row>
    <row r="27" spans="1:30" ht="15" customHeight="1" x14ac:dyDescent="0.2">
      <c r="A27" s="108" t="s">
        <v>78</v>
      </c>
      <c r="B27" s="175"/>
      <c r="C27" s="310"/>
      <c r="D27" s="107"/>
      <c r="E27" s="107"/>
      <c r="F27" s="310"/>
      <c r="G27" s="107"/>
      <c r="H27" s="107"/>
      <c r="I27" s="310"/>
      <c r="J27" s="107"/>
      <c r="K27" s="107"/>
      <c r="L27" s="310"/>
      <c r="M27" s="107"/>
      <c r="N27" s="285"/>
      <c r="O27" s="285"/>
      <c r="P27" s="285"/>
      <c r="Q27" s="285"/>
      <c r="R27" s="285"/>
      <c r="S27" s="285"/>
      <c r="T27" s="285"/>
      <c r="U27" s="285"/>
      <c r="AB27" s="254"/>
      <c r="AD27" s="208">
        <v>15</v>
      </c>
    </row>
    <row r="28" spans="1:30" ht="15" customHeight="1" x14ac:dyDescent="0.2">
      <c r="A28" s="110" t="s">
        <v>20</v>
      </c>
      <c r="B28" s="175"/>
      <c r="C28" s="311">
        <f>INDEX('Table B1 feeder rounded values'!$E$13:$AS$118,$AD$8+$AD22,3+$AD$4)</f>
        <v>24.9</v>
      </c>
      <c r="D28" s="283">
        <f>INDEX('Table B1 feeder rounded values'!$E$13:$AS$118,$AD$8+$AD22,4+$AD$4)</f>
        <v>31.7</v>
      </c>
      <c r="E28" s="283"/>
      <c r="F28" s="311">
        <f>INDEX('Table B1 feeder rounded values'!$E$13:$AS$118,$AD$8+$AD22,6+$AD$4)</f>
        <v>23.8</v>
      </c>
      <c r="G28" s="283">
        <f>INDEX('Table B1 feeder rounded values'!$E$13:$AS$118,$AD$8+$AD22,7+$AD$4)</f>
        <v>31.5</v>
      </c>
      <c r="H28" s="283"/>
      <c r="I28" s="311">
        <f>INDEX('Table B1 feeder rounded values'!$E$13:$AS$118,$AD$8+$AD22,9+$AD$4)</f>
        <v>24.4</v>
      </c>
      <c r="J28" s="283">
        <f>INDEX('Table B1 feeder rounded values'!$E$13:$AS$118,$AD$8+$AD22,10+$AD$4)</f>
        <v>31</v>
      </c>
      <c r="K28" s="283"/>
      <c r="L28" s="311">
        <f>INDEX('Table B1 feeder rounded values'!$E$13:$AS$118,$AD$8+$AD22,12+$AD$4)</f>
        <v>24.7</v>
      </c>
      <c r="M28" s="283">
        <f>INDEX('Table B1 feeder rounded values'!$E$13:$AS$118,$AD$8+$AD22,13+$AD$4)</f>
        <v>31.6</v>
      </c>
      <c r="N28" s="285"/>
      <c r="O28" s="285"/>
      <c r="P28" s="285"/>
      <c r="Q28" s="285"/>
      <c r="R28" s="285"/>
      <c r="S28" s="285"/>
      <c r="T28" s="285"/>
      <c r="U28" s="285"/>
      <c r="AB28" s="254"/>
      <c r="AD28" s="208">
        <v>16</v>
      </c>
    </row>
    <row r="29" spans="1:30" ht="11.25" customHeight="1" x14ac:dyDescent="0.2">
      <c r="A29" s="110"/>
      <c r="B29" s="175"/>
      <c r="C29" s="311"/>
      <c r="D29" s="283"/>
      <c r="E29" s="284"/>
      <c r="F29" s="311"/>
      <c r="G29" s="283"/>
      <c r="H29" s="284"/>
      <c r="I29" s="311"/>
      <c r="J29" s="283"/>
      <c r="K29" s="284"/>
      <c r="L29" s="311"/>
      <c r="M29" s="283"/>
      <c r="N29" s="178"/>
      <c r="O29" s="178"/>
      <c r="P29" s="178"/>
      <c r="Q29" s="178"/>
      <c r="R29" s="178"/>
      <c r="S29" s="178"/>
      <c r="T29" s="178"/>
      <c r="U29" s="178"/>
    </row>
    <row r="30" spans="1:30" ht="11.25" customHeight="1" x14ac:dyDescent="0.2">
      <c r="A30" s="223" t="s">
        <v>45</v>
      </c>
      <c r="B30" s="175"/>
      <c r="C30" s="311">
        <f>INDEX('Table B1 feeder rounded values'!$E$13:$AS$118,$AD$8+$AD24,3+$AD$4)</f>
        <v>43.2</v>
      </c>
      <c r="D30" s="283">
        <f>INDEX('Table B1 feeder rounded values'!$E$13:$AS$118,$AD$8+$AD24,4+$AD$4)</f>
        <v>52.1</v>
      </c>
      <c r="E30" s="283"/>
      <c r="F30" s="311">
        <f>INDEX('Table B1 feeder rounded values'!$E$13:$AS$118,$AD$8+$AD24,6+$AD$4)</f>
        <v>35.1</v>
      </c>
      <c r="G30" s="283">
        <f>INDEX('Table B1 feeder rounded values'!$E$13:$AS$118,$AD$8+$AD24,7+$AD$4)</f>
        <v>47.1</v>
      </c>
      <c r="H30" s="283"/>
      <c r="I30" s="311">
        <f>INDEX('Table B1 feeder rounded values'!$E$13:$AS$118,$AD$8+$AD24,9+$AD$4)</f>
        <v>38.6</v>
      </c>
      <c r="J30" s="283">
        <f>INDEX('Table B1 feeder rounded values'!$E$13:$AS$118,$AD$8+$AD24,10+$AD$4)</f>
        <v>41.3</v>
      </c>
      <c r="K30" s="283"/>
      <c r="L30" s="311">
        <f>INDEX('Table B1 feeder rounded values'!$E$13:$AS$118,$AD$8+$AD24,12+$AD$4)</f>
        <v>41.3</v>
      </c>
      <c r="M30" s="283">
        <f>INDEX('Table B1 feeder rounded values'!$E$13:$AS$118,$AD$8+$AD24,13+$AD$4)</f>
        <v>50.1</v>
      </c>
    </row>
    <row r="31" spans="1:30" ht="11.25" customHeight="1" x14ac:dyDescent="0.2">
      <c r="A31" s="223"/>
      <c r="B31" s="175"/>
      <c r="C31" s="312"/>
      <c r="D31" s="169"/>
      <c r="E31" s="170"/>
      <c r="F31" s="312"/>
      <c r="G31" s="169"/>
      <c r="H31" s="170"/>
      <c r="I31" s="312"/>
      <c r="J31" s="169"/>
      <c r="K31" s="170"/>
      <c r="L31" s="312"/>
      <c r="M31" s="169"/>
      <c r="AA31" s="198"/>
      <c r="AB31" s="198"/>
      <c r="AC31" s="198"/>
      <c r="AD31" s="198"/>
    </row>
    <row r="32" spans="1:30" ht="11.25" customHeight="1" x14ac:dyDescent="0.2">
      <c r="A32" s="223" t="s">
        <v>75</v>
      </c>
      <c r="B32" s="175"/>
      <c r="C32" s="311">
        <f>INDEX('Table B1 feeder rounded values'!$E$13:$AS$118,$AD$8+$AD26,3+$AD$4)</f>
        <v>8.8000000000000007</v>
      </c>
      <c r="D32" s="283">
        <f>INDEX('Table B1 feeder rounded values'!$E$13:$AS$118,$AD$8+$AD26,4+$AD$4)</f>
        <v>11.8</v>
      </c>
      <c r="E32" s="283"/>
      <c r="F32" s="311">
        <f>INDEX('Table B1 feeder rounded values'!$E$13:$AS$118,$AD$8+$AD26,6+$AD$4)</f>
        <v>10.3</v>
      </c>
      <c r="G32" s="283">
        <f>INDEX('Table B1 feeder rounded values'!$E$13:$AS$118,$AD$8+$AD26,7+$AD$4)</f>
        <v>7.8</v>
      </c>
      <c r="H32" s="283"/>
      <c r="I32" s="311" t="str">
        <f>INDEX('Table B1 feeder rounded values'!$E$13:$AS$118,$AD$8+$AD26,9+$AD$4)</f>
        <v>x</v>
      </c>
      <c r="J32" s="283">
        <f>INDEX('Table B1 feeder rounded values'!$E$13:$AS$118,$AD$8+$AD26,10+$AD$4)</f>
        <v>16.7</v>
      </c>
      <c r="K32" s="283"/>
      <c r="L32" s="311">
        <f>INDEX('Table B1 feeder rounded values'!$E$13:$AS$118,$AD$8+$AD26,12+$AD$4)</f>
        <v>8.9</v>
      </c>
      <c r="M32" s="283">
        <f>INDEX('Table B1 feeder rounded values'!$E$13:$AS$118,$AD$8+$AD26,13+$AD$4)</f>
        <v>11.6</v>
      </c>
      <c r="AA32" s="198"/>
      <c r="AB32" s="198"/>
      <c r="AC32" s="198"/>
      <c r="AD32" s="198"/>
    </row>
    <row r="33" spans="1:30" ht="11.25" customHeight="1" x14ac:dyDescent="0.2">
      <c r="A33" s="223" t="s">
        <v>66</v>
      </c>
      <c r="B33" s="223"/>
      <c r="C33" s="311">
        <f>INDEX('Table B1 feeder rounded values'!$E$13:$AS$118,$AD$8+$AD27,3+$AD$4)</f>
        <v>5.6</v>
      </c>
      <c r="D33" s="283">
        <f>INDEX('Table B1 feeder rounded values'!$E$13:$AS$118,$AD$8+$AD27,4+$AD$4)</f>
        <v>4.2</v>
      </c>
      <c r="E33" s="283"/>
      <c r="F33" s="311" t="str">
        <f>INDEX('Table B1 feeder rounded values'!$E$13:$AS$118,$AD$8+$AD27,6+$AD$4)</f>
        <v>x</v>
      </c>
      <c r="G33" s="283" t="str">
        <f>INDEX('Table B1 feeder rounded values'!$E$13:$AS$118,$AD$8+$AD27,7+$AD$4)</f>
        <v>x</v>
      </c>
      <c r="H33" s="283"/>
      <c r="I33" s="311" t="str">
        <f>INDEX('Table B1 feeder rounded values'!$E$13:$AS$118,$AD$8+$AD27,9+$AD$4)</f>
        <v>x</v>
      </c>
      <c r="J33" s="283" t="str">
        <f>INDEX('Table B1 feeder rounded values'!$E$13:$AS$118,$AD$8+$AD27,10+$AD$4)</f>
        <v>x</v>
      </c>
      <c r="K33" s="283"/>
      <c r="L33" s="311">
        <f>INDEX('Table B1 feeder rounded values'!$E$13:$AS$118,$AD$8+$AD27,12+$AD$4)</f>
        <v>4.5</v>
      </c>
      <c r="M33" s="283">
        <f>INDEX('Table B1 feeder rounded values'!$E$13:$AS$118,$AD$8+$AD27,13+$AD$4)</f>
        <v>4.8</v>
      </c>
      <c r="AA33" s="198"/>
      <c r="AB33" s="198"/>
      <c r="AC33" s="198"/>
      <c r="AD33" s="198"/>
    </row>
    <row r="34" spans="1:30" ht="11.25" customHeight="1" x14ac:dyDescent="0.2">
      <c r="A34" s="224" t="s">
        <v>67</v>
      </c>
      <c r="B34" s="224"/>
      <c r="C34" s="313">
        <f>INDEX('Table B1 feeder rounded values'!$E$13:$AS$118,$AD$8+$AD28,3+$AD$4)</f>
        <v>11.8</v>
      </c>
      <c r="D34" s="292">
        <f>INDEX('Table B1 feeder rounded values'!$E$13:$AS$118,$AD$8+$AD28,4+$AD$4)</f>
        <v>18.8</v>
      </c>
      <c r="E34" s="292"/>
      <c r="F34" s="313">
        <f>INDEX('Table B1 feeder rounded values'!$E$13:$AS$118,$AD$8+$AD28,6+$AD$4)</f>
        <v>17.8</v>
      </c>
      <c r="G34" s="292" t="str">
        <f>INDEX('Table B1 feeder rounded values'!$E$13:$AS$118,$AD$8+$AD28,7+$AD$4)</f>
        <v>x</v>
      </c>
      <c r="H34" s="292"/>
      <c r="I34" s="313" t="str">
        <f>INDEX('Table B1 feeder rounded values'!$E$13:$AS$118,$AD$8+$AD28,9+$AD$4)</f>
        <v>x</v>
      </c>
      <c r="J34" s="292">
        <f>INDEX('Table B1 feeder rounded values'!$E$13:$AS$118,$AD$8+$AD28,10+$AD$4)</f>
        <v>24.1</v>
      </c>
      <c r="K34" s="292"/>
      <c r="L34" s="313">
        <f>INDEX('Table B1 feeder rounded values'!$E$13:$AS$118,$AD$8+$AD28,12+$AD$4)</f>
        <v>12.5</v>
      </c>
      <c r="M34" s="292">
        <f>INDEX('Table B1 feeder rounded values'!$E$13:$AS$118,$AD$8+$AD28,13+$AD$4)</f>
        <v>17.8</v>
      </c>
      <c r="AB34" s="254"/>
    </row>
    <row r="35" spans="1:30" ht="11.25" customHeight="1" x14ac:dyDescent="0.2">
      <c r="A35" s="112"/>
      <c r="J35" s="174"/>
      <c r="M35" s="178" t="s">
        <v>121</v>
      </c>
      <c r="AB35" s="254"/>
    </row>
    <row r="36" spans="1:30" x14ac:dyDescent="0.2">
      <c r="A36" s="192"/>
      <c r="J36" s="174"/>
      <c r="AB36" s="254"/>
    </row>
    <row r="37" spans="1:30" ht="33.75" customHeight="1" x14ac:dyDescent="0.25">
      <c r="A37" s="356" t="s">
        <v>186</v>
      </c>
      <c r="B37" s="357"/>
      <c r="C37" s="357"/>
      <c r="D37" s="357"/>
      <c r="E37" s="357"/>
      <c r="F37" s="357"/>
      <c r="G37" s="357"/>
      <c r="H37" s="357"/>
      <c r="I37" s="357"/>
      <c r="J37" s="357"/>
      <c r="K37" s="357"/>
      <c r="L37" s="357"/>
      <c r="M37" s="357"/>
      <c r="O37" s="211"/>
      <c r="AB37" s="254"/>
    </row>
    <row r="38" spans="1:30" ht="11.25" customHeight="1" x14ac:dyDescent="0.2">
      <c r="A38" s="198" t="s">
        <v>160</v>
      </c>
      <c r="AB38" s="254"/>
    </row>
    <row r="39" spans="1:30" ht="33.75" customHeight="1" x14ac:dyDescent="0.2">
      <c r="A39" s="356" t="s">
        <v>161</v>
      </c>
      <c r="B39" s="357"/>
      <c r="C39" s="357"/>
      <c r="D39" s="357"/>
      <c r="E39" s="357"/>
      <c r="F39" s="357"/>
      <c r="G39" s="357"/>
      <c r="H39" s="357"/>
      <c r="I39" s="357"/>
      <c r="J39" s="357"/>
      <c r="K39" s="357"/>
      <c r="L39" s="357"/>
      <c r="M39" s="357"/>
      <c r="AB39" s="254"/>
    </row>
    <row r="40" spans="1:30" ht="22.5" customHeight="1" x14ac:dyDescent="0.25">
      <c r="A40" s="356" t="s">
        <v>188</v>
      </c>
      <c r="B40" s="357"/>
      <c r="C40" s="357"/>
      <c r="D40" s="357"/>
      <c r="E40" s="357"/>
      <c r="F40" s="357"/>
      <c r="G40" s="357"/>
      <c r="H40" s="357"/>
      <c r="I40" s="357"/>
      <c r="J40" s="357"/>
      <c r="K40" s="357"/>
      <c r="L40" s="357"/>
      <c r="M40" s="357"/>
      <c r="O40" s="211"/>
      <c r="AB40" s="254"/>
    </row>
    <row r="41" spans="1:30" ht="45" customHeight="1" x14ac:dyDescent="0.25">
      <c r="A41" s="356" t="s">
        <v>191</v>
      </c>
      <c r="B41" s="357"/>
      <c r="C41" s="357"/>
      <c r="D41" s="357"/>
      <c r="E41" s="357"/>
      <c r="F41" s="357"/>
      <c r="G41" s="357"/>
      <c r="H41" s="357"/>
      <c r="I41" s="357"/>
      <c r="J41" s="357"/>
      <c r="K41" s="357"/>
      <c r="L41" s="357"/>
      <c r="M41" s="357"/>
      <c r="O41" s="211"/>
      <c r="AB41" s="254"/>
    </row>
    <row r="42" spans="1:30" ht="33.75" customHeight="1" x14ac:dyDescent="0.25">
      <c r="A42" s="356" t="s">
        <v>177</v>
      </c>
      <c r="B42" s="357"/>
      <c r="C42" s="357"/>
      <c r="D42" s="357"/>
      <c r="E42" s="357"/>
      <c r="F42" s="357"/>
      <c r="G42" s="357"/>
      <c r="H42" s="357"/>
      <c r="I42" s="357"/>
      <c r="J42" s="357"/>
      <c r="K42" s="357"/>
      <c r="L42" s="357"/>
      <c r="M42" s="357"/>
      <c r="O42" s="211"/>
      <c r="AB42" s="254"/>
    </row>
    <row r="43" spans="1:30" ht="11.25" customHeight="1" x14ac:dyDescent="0.2"/>
    <row r="44" spans="1:30" ht="11.25" customHeight="1" x14ac:dyDescent="0.2">
      <c r="A44" s="198" t="s">
        <v>162</v>
      </c>
    </row>
    <row r="45" spans="1:30" s="7" customFormat="1" ht="11.25" customHeight="1" x14ac:dyDescent="0.25">
      <c r="A45" s="326" t="s">
        <v>149</v>
      </c>
      <c r="B45" s="325"/>
      <c r="C45" s="325"/>
      <c r="D45" s="325"/>
      <c r="E45" s="325"/>
      <c r="F45" s="325"/>
      <c r="G45" s="325"/>
      <c r="H45" s="325"/>
      <c r="I45" s="325"/>
      <c r="J45" s="325"/>
      <c r="K45" s="325"/>
      <c r="L45" s="325"/>
      <c r="M45" s="325"/>
      <c r="N45" s="325"/>
      <c r="O45" s="325"/>
      <c r="P45" s="325"/>
      <c r="Q45" s="325"/>
    </row>
    <row r="46" spans="1:30" s="7" customFormat="1" ht="11.25" customHeight="1" x14ac:dyDescent="0.25">
      <c r="A46" s="235" t="s">
        <v>150</v>
      </c>
      <c r="B46" s="198"/>
      <c r="C46" s="198"/>
      <c r="D46" s="198"/>
      <c r="E46" s="198"/>
      <c r="F46" s="198"/>
      <c r="G46" s="198"/>
      <c r="H46" s="198"/>
      <c r="I46" s="198"/>
      <c r="J46" s="198"/>
      <c r="K46" s="198"/>
      <c r="L46" s="198"/>
      <c r="M46" s="198"/>
      <c r="N46" s="198"/>
      <c r="O46" s="198"/>
      <c r="P46" s="198"/>
      <c r="Q46" s="198"/>
    </row>
    <row r="47" spans="1:30" s="7" customFormat="1" ht="11.25" customHeight="1" x14ac:dyDescent="0.25">
      <c r="A47" s="235" t="s">
        <v>151</v>
      </c>
      <c r="B47" s="198"/>
      <c r="C47" s="198"/>
      <c r="D47" s="198"/>
      <c r="E47" s="198"/>
      <c r="F47" s="198"/>
      <c r="G47" s="198"/>
      <c r="H47" s="198"/>
      <c r="I47" s="198"/>
      <c r="J47" s="198"/>
      <c r="K47" s="198"/>
      <c r="L47" s="198"/>
      <c r="M47" s="198"/>
      <c r="N47" s="198"/>
      <c r="O47" s="198"/>
      <c r="P47" s="198"/>
      <c r="Q47" s="198"/>
    </row>
    <row r="48" spans="1:30" s="7" customFormat="1" ht="11.25" customHeight="1" x14ac:dyDescent="0.25">
      <c r="A48" s="235" t="s">
        <v>152</v>
      </c>
      <c r="B48" s="198"/>
      <c r="C48" s="198"/>
      <c r="D48" s="198"/>
      <c r="E48" s="198"/>
      <c r="F48" s="198"/>
      <c r="G48" s="198"/>
      <c r="H48" s="198"/>
      <c r="I48" s="198"/>
      <c r="J48" s="198"/>
      <c r="K48" s="198"/>
      <c r="L48" s="198"/>
      <c r="M48" s="198"/>
      <c r="N48" s="198"/>
      <c r="O48" s="198"/>
      <c r="P48" s="198"/>
      <c r="Q48" s="198"/>
    </row>
    <row r="49" spans="1:28" s="7" customFormat="1" ht="11.25" customHeight="1" x14ac:dyDescent="0.25">
      <c r="A49" s="235" t="str">
        <f>"-  (hyphen)  negligible"</f>
        <v>-  (hyphen)  negligible</v>
      </c>
      <c r="B49" s="198"/>
      <c r="C49" s="198"/>
      <c r="D49" s="198"/>
      <c r="E49" s="198"/>
      <c r="F49" s="198"/>
      <c r="G49" s="198"/>
      <c r="H49" s="198"/>
      <c r="I49" s="198"/>
      <c r="J49" s="198"/>
      <c r="K49" s="198"/>
      <c r="L49" s="198"/>
      <c r="M49" s="198"/>
      <c r="N49" s="198"/>
      <c r="O49" s="198"/>
      <c r="P49" s="198"/>
      <c r="Q49" s="198"/>
    </row>
    <row r="50" spans="1:28" s="7" customFormat="1" ht="11.25" customHeight="1" x14ac:dyDescent="0.25">
      <c r="A50" s="198" t="s">
        <v>27</v>
      </c>
      <c r="B50" s="198"/>
      <c r="C50" s="198"/>
      <c r="D50" s="198"/>
      <c r="E50" s="198"/>
      <c r="F50" s="198"/>
      <c r="G50" s="198"/>
      <c r="H50" s="198"/>
      <c r="I50" s="198"/>
      <c r="J50" s="198"/>
      <c r="K50" s="198"/>
      <c r="L50" s="198"/>
      <c r="M50" s="198"/>
      <c r="N50" s="198"/>
      <c r="O50" s="198"/>
      <c r="P50" s="198"/>
      <c r="Q50" s="198"/>
    </row>
    <row r="51" spans="1:28" x14ac:dyDescent="0.2">
      <c r="AB51" s="254"/>
    </row>
    <row r="52" spans="1:28" x14ac:dyDescent="0.2">
      <c r="AB52" s="254"/>
    </row>
    <row r="53" spans="1:28" x14ac:dyDescent="0.2">
      <c r="I53" s="109"/>
      <c r="J53" s="109"/>
      <c r="AB53" s="254"/>
    </row>
    <row r="54" spans="1:28" x14ac:dyDescent="0.2">
      <c r="G54" s="84"/>
      <c r="I54" s="109"/>
      <c r="J54" s="109"/>
      <c r="AB54" s="254"/>
    </row>
    <row r="55" spans="1:28" x14ac:dyDescent="0.2">
      <c r="A55" s="196"/>
      <c r="B55" s="196"/>
      <c r="D55" s="109"/>
      <c r="E55" s="109"/>
      <c r="F55" s="109"/>
      <c r="G55" s="109"/>
      <c r="H55" s="109"/>
      <c r="AB55" s="254"/>
    </row>
    <row r="56" spans="1:28" x14ac:dyDescent="0.2">
      <c r="A56" s="196"/>
      <c r="B56" s="196"/>
      <c r="D56" s="109"/>
      <c r="E56" s="109"/>
      <c r="F56" s="109"/>
      <c r="G56" s="109"/>
      <c r="H56" s="109"/>
      <c r="AB56" s="254"/>
    </row>
    <row r="59" spans="1:28" x14ac:dyDescent="0.2">
      <c r="C59" s="106"/>
      <c r="D59" s="106"/>
      <c r="E59" s="106"/>
      <c r="H59" s="106"/>
    </row>
    <row r="61" spans="1:28" ht="14.25" customHeight="1" x14ac:dyDescent="0.2"/>
    <row r="62" spans="1:28" ht="22.5" customHeight="1" x14ac:dyDescent="0.2"/>
    <row r="63" spans="1:28" ht="22.5" customHeight="1" x14ac:dyDescent="0.2"/>
    <row r="64" spans="1:28" ht="22.5" customHeight="1" x14ac:dyDescent="0.2"/>
    <row r="65" ht="33.75" customHeight="1" x14ac:dyDescent="0.2"/>
    <row r="66" ht="11.25" customHeight="1" x14ac:dyDescent="0.2"/>
    <row r="67" ht="33.75" customHeight="1" x14ac:dyDescent="0.2"/>
    <row r="68" ht="33.75" customHeight="1" x14ac:dyDescent="0.2"/>
    <row r="69" ht="22.5" customHeight="1" x14ac:dyDescent="0.2"/>
    <row r="70" ht="22.5" customHeight="1" x14ac:dyDescent="0.2"/>
    <row r="71" ht="11.25" customHeight="1" x14ac:dyDescent="0.2"/>
    <row r="72" ht="15" customHeight="1" x14ac:dyDescent="0.2"/>
    <row r="73" ht="11.85" customHeight="1" x14ac:dyDescent="0.2"/>
    <row r="74" ht="11.85" customHeight="1" x14ac:dyDescent="0.2"/>
  </sheetData>
  <sheetProtection algorithmName="SHA-512" hashValue="xJ21yGjeG5kNpuJOLwlRAzSZcPBJ7ctNTHqLudKgu1CipdumAcsljUkwEpqIC3MEFUPpuqYRUnhOd433NZMNzg==" saltValue="b1BbLwXaR7vE/pxA0MOxYg==" spinCount="100000" sheet="1" objects="1" scenarios="1" selectLockedCells="1"/>
  <mergeCells count="13">
    <mergeCell ref="A3:J3"/>
    <mergeCell ref="J11:M11"/>
    <mergeCell ref="J12:M12"/>
    <mergeCell ref="C15:D15"/>
    <mergeCell ref="F15:G15"/>
    <mergeCell ref="I15:J15"/>
    <mergeCell ref="L15:M15"/>
    <mergeCell ref="A7:M9"/>
    <mergeCell ref="A42:M42"/>
    <mergeCell ref="A37:M37"/>
    <mergeCell ref="A39:M39"/>
    <mergeCell ref="A40:M40"/>
    <mergeCell ref="A41:M41"/>
  </mergeCells>
  <dataValidations count="2">
    <dataValidation type="list" allowBlank="1" showInputMessage="1" showErrorMessage="1" sqref="N5:U5 J11:M11">
      <formula1>$AB$1:$AB$3</formula1>
    </dataValidation>
    <dataValidation type="list" allowBlank="1" showInputMessage="1" showErrorMessage="1" sqref="N6:U6 J12:M12">
      <formula1>$AB$5:$AB$7</formula1>
    </dataValidation>
  </dataValidations>
  <hyperlinks>
    <hyperlink ref="A2" location="INDEX!A1" display="Back to index"/>
  </hyperlinks>
  <pageMargins left="0.7" right="0.7" top="0.75" bottom="0.75" header="0.3" footer="0.3"/>
  <pageSetup paperSize="9" scale="56" orientation="portrait" r:id="rId1"/>
  <ignoredErrors>
    <ignoredError sqref="D16:G16 H16:J16 K16:M16 C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INDEX</vt:lpstr>
      <vt:lpstr> Table A1 feeder rounded values</vt:lpstr>
      <vt:lpstr>Table A1</vt:lpstr>
      <vt:lpstr>Table 2a All</vt:lpstr>
      <vt:lpstr>Table A2 feeder rounded values</vt:lpstr>
      <vt:lpstr>Table A2</vt:lpstr>
      <vt:lpstr>Table 2b All</vt:lpstr>
      <vt:lpstr>Table B1 feeder rounded values</vt:lpstr>
      <vt:lpstr>Table B1</vt:lpstr>
      <vt:lpstr>Table 3a All</vt:lpstr>
      <vt:lpstr>Table B2 feeder rounded values</vt:lpstr>
      <vt:lpstr>Table B2</vt:lpstr>
      <vt:lpstr>Table B3 feeder rounded values</vt:lpstr>
      <vt:lpstr>Table B3</vt:lpstr>
      <vt:lpstr>Table 3c All</vt:lpstr>
      <vt:lpstr>Table B4</vt:lpstr>
      <vt:lpstr>'Table B4'!Extract</vt:lpstr>
      <vt:lpstr>Female</vt:lpstr>
      <vt:lpstr>Male</vt:lpstr>
      <vt:lpstr>INDEX!Print_Area</vt:lpstr>
      <vt:lpstr>'Table A1'!Print_Area</vt:lpstr>
      <vt:lpstr>'Table A2'!Print_Area</vt:lpstr>
      <vt:lpstr>'Table B1'!Print_Area</vt:lpstr>
      <vt:lpstr>'Table B2'!Print_Area</vt:lpstr>
      <vt:lpstr>'Table B4'!Print_Area</vt:lpstr>
      <vt:lpstr>Table3aAchievingEbaccNumbers</vt:lpstr>
      <vt:lpstr>Table3aAchievingEbaccPercentages</vt:lpstr>
      <vt:lpstr>Table3aEnglishandMathematicsNumbers</vt:lpstr>
      <vt:lpstr>Table3aEnglishandMathematicsPercentages</vt:lpstr>
      <vt:lpstr>Table3aEnteringEbaccNumbers</vt:lpstr>
      <vt:lpstr>Table3aEnteringEbaccPercentages</vt:lpstr>
      <vt:lpstr>Table3cRoundedValues</vt:lpstr>
      <vt:lpstr>Total</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WAINE, Bree</dc:creator>
  <cp:lastModifiedBy>COOK, Stephen</cp:lastModifiedBy>
  <cp:lastPrinted>2017-05-10T08:54:45Z</cp:lastPrinted>
  <dcterms:created xsi:type="dcterms:W3CDTF">2017-01-28T20:35:56Z</dcterms:created>
  <dcterms:modified xsi:type="dcterms:W3CDTF">2017-05-10T08:55:52Z</dcterms:modified>
</cp:coreProperties>
</file>